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adford\Desktop\"/>
    </mc:Choice>
  </mc:AlternateContent>
  <workbookProtection workbookAlgorithmName="SHA-512" workbookHashValue="gvQcr4q3yGVR7CCxabs5kEpu+O9+ZtS+kEp+qrYgSqiCjENQdCuHErCy5++2nli8l92oO5cosvclQ1Z2UOvihQ==" workbookSaltValue="MxSQXKcTv/2I/ECtzDDZNg==" workbookSpinCount="100000" lockStructure="1"/>
  <bookViews>
    <workbookView xWindow="0" yWindow="0" windowWidth="20520" windowHeight="10530"/>
  </bookViews>
  <sheets>
    <sheet name="Generation Calculator" sheetId="6" r:id="rId1"/>
    <sheet name="Source Data" sheetId="5" state="hidden" r:id="rId2"/>
  </sheets>
  <definedNames>
    <definedName name="binsize">'Source Data'!#REF!</definedName>
    <definedName name="garbagebinsize">'Source Data'!$I$24</definedName>
    <definedName name="garbagecartnumber">'Source Data'!$B$24</definedName>
    <definedName name="garbagecartsize">'Source Data'!$C$24</definedName>
    <definedName name="organicsbinsize">'Source Data'!$K$24</definedName>
    <definedName name="organicscartnumber">'Source Data'!$G$24</definedName>
    <definedName name="organicscartsize">'Source Data'!$H$24</definedName>
    <definedName name="recyclingbinsize">'Source Data'!$J$24</definedName>
    <definedName name="recyclingcartnumber">'Source Data'!$D$24</definedName>
    <definedName name="recyclingcartsize">'Source Data'!$F$24</definedName>
  </definedNames>
  <calcPr calcId="171027" concurrentCalc="0"/>
</workbook>
</file>

<file path=xl/calcChain.xml><?xml version="1.0" encoding="utf-8"?>
<calcChain xmlns="http://schemas.openxmlformats.org/spreadsheetml/2006/main">
  <c r="E9" i="5" l="1"/>
  <c r="B56" i="5"/>
  <c r="C56" i="5"/>
  <c r="D56" i="5"/>
  <c r="B57" i="5"/>
  <c r="C57" i="5"/>
  <c r="D57" i="5"/>
  <c r="B58" i="5"/>
  <c r="C58" i="5"/>
  <c r="D58" i="5"/>
  <c r="B59" i="5"/>
  <c r="C59" i="5"/>
  <c r="D59" i="5"/>
  <c r="B55" i="5"/>
  <c r="C55" i="5"/>
  <c r="D55" i="5"/>
  <c r="A55" i="5"/>
  <c r="A54" i="5"/>
  <c r="B54" i="5"/>
  <c r="B46" i="5"/>
  <c r="B21" i="5"/>
  <c r="I3" i="5"/>
  <c r="L3" i="5"/>
  <c r="B44" i="5"/>
  <c r="I12" i="5"/>
  <c r="L12" i="5"/>
  <c r="H9" i="5"/>
  <c r="G9" i="5"/>
  <c r="F9" i="5"/>
  <c r="H5" i="5"/>
  <c r="H6" i="5"/>
  <c r="E4" i="5"/>
  <c r="E3" i="5"/>
  <c r="H3" i="5"/>
  <c r="G3" i="5"/>
  <c r="E14" i="5"/>
  <c r="G14" i="5"/>
  <c r="F14" i="5"/>
  <c r="G18" i="5"/>
  <c r="F18" i="5"/>
  <c r="E18" i="5"/>
  <c r="G15" i="5"/>
  <c r="F15" i="5"/>
  <c r="E15" i="5"/>
  <c r="G13" i="5"/>
  <c r="F6" i="5"/>
  <c r="G6" i="5"/>
  <c r="F5" i="5"/>
  <c r="F4" i="5"/>
  <c r="E5" i="5"/>
  <c r="G5" i="5"/>
  <c r="E8" i="5"/>
  <c r="G8" i="5"/>
  <c r="E10" i="5"/>
  <c r="F10" i="5"/>
  <c r="E11" i="5"/>
  <c r="G11" i="5"/>
  <c r="E13" i="5"/>
  <c r="F13" i="5"/>
  <c r="E16" i="5"/>
  <c r="F16" i="5"/>
  <c r="E17" i="5"/>
  <c r="G17" i="5"/>
  <c r="G16" i="5"/>
  <c r="G10" i="5"/>
  <c r="F8" i="5"/>
  <c r="F3" i="5"/>
  <c r="G4" i="5"/>
  <c r="F11" i="5"/>
  <c r="F17" i="5"/>
  <c r="H18" i="5"/>
  <c r="H14" i="5"/>
  <c r="H17" i="5"/>
  <c r="H16" i="5"/>
  <c r="H13" i="5"/>
  <c r="H11" i="5"/>
  <c r="H10" i="5"/>
  <c r="H7" i="5"/>
  <c r="F12" i="5"/>
  <c r="B53" i="5"/>
  <c r="H12" i="5"/>
  <c r="D53" i="5"/>
  <c r="H15" i="5"/>
  <c r="D47" i="5"/>
  <c r="D48" i="5"/>
  <c r="C50" i="5"/>
  <c r="D51" i="5"/>
  <c r="D52" i="5"/>
  <c r="D54" i="5"/>
  <c r="D44" i="5"/>
  <c r="G12" i="5"/>
  <c r="C53" i="5"/>
  <c r="B50" i="5"/>
  <c r="G7" i="5"/>
  <c r="C48" i="5"/>
  <c r="F7" i="5"/>
  <c r="B48" i="5"/>
  <c r="B47" i="5"/>
  <c r="C47" i="5"/>
  <c r="C44" i="5"/>
  <c r="C45" i="5"/>
  <c r="C46" i="5"/>
  <c r="C49" i="5"/>
  <c r="C51" i="5"/>
  <c r="C52" i="5"/>
  <c r="C54" i="5"/>
  <c r="B45" i="5"/>
  <c r="B49" i="5"/>
  <c r="B51" i="5"/>
  <c r="B52" i="5"/>
  <c r="D50" i="5"/>
  <c r="H8" i="5"/>
  <c r="D49" i="5"/>
  <c r="D46" i="5"/>
  <c r="H4" i="5"/>
  <c r="D45" i="5"/>
  <c r="I14" i="5"/>
  <c r="I8" i="5"/>
  <c r="K14" i="5"/>
  <c r="J14" i="5"/>
  <c r="I4" i="5"/>
  <c r="J4" i="5"/>
  <c r="I18" i="5"/>
  <c r="K15" i="5"/>
  <c r="J15" i="5"/>
  <c r="J18" i="5"/>
  <c r="I15" i="5"/>
  <c r="I6" i="5"/>
  <c r="K12" i="5"/>
  <c r="J16" i="5"/>
  <c r="J13" i="5"/>
  <c r="J11" i="5"/>
  <c r="I9" i="5"/>
  <c r="I16" i="5"/>
  <c r="I13" i="5"/>
  <c r="I11" i="5"/>
  <c r="J10" i="5"/>
  <c r="J17" i="5"/>
  <c r="J12" i="5"/>
  <c r="I10" i="5"/>
  <c r="J8" i="5"/>
  <c r="I17" i="5"/>
  <c r="J9" i="5"/>
  <c r="J5" i="5"/>
  <c r="I5" i="5"/>
  <c r="J7" i="5"/>
  <c r="I7" i="5"/>
  <c r="J6" i="5"/>
  <c r="J3" i="5"/>
  <c r="K17" i="5"/>
  <c r="B20" i="5"/>
  <c r="Y14" i="5"/>
  <c r="M14" i="5"/>
  <c r="X14" i="5"/>
  <c r="L14" i="5"/>
  <c r="Z14" i="5"/>
  <c r="N14" i="5"/>
  <c r="L17" i="5"/>
  <c r="X17" i="5"/>
  <c r="N17" i="5"/>
  <c r="Z17" i="5"/>
  <c r="M17" i="5"/>
  <c r="Y17" i="5"/>
  <c r="K16" i="5"/>
  <c r="K6" i="5"/>
  <c r="R14" i="5"/>
  <c r="O14" i="5"/>
  <c r="U14" i="5"/>
  <c r="W14" i="5"/>
  <c r="Q14" i="5"/>
  <c r="T14" i="5"/>
  <c r="V14" i="5"/>
  <c r="P14" i="5"/>
  <c r="S14" i="5"/>
  <c r="W17" i="5"/>
  <c r="Q17" i="5"/>
  <c r="T17" i="5"/>
  <c r="V17" i="5"/>
  <c r="S17" i="5"/>
  <c r="P17" i="5"/>
  <c r="R17" i="5"/>
  <c r="O17" i="5"/>
  <c r="U17" i="5"/>
  <c r="M10" i="5"/>
  <c r="K3" i="5"/>
  <c r="N3" i="5"/>
  <c r="X9" i="5"/>
  <c r="K4" i="5"/>
  <c r="Z4" i="5"/>
  <c r="K5" i="5"/>
  <c r="N5" i="5"/>
  <c r="L7" i="5"/>
  <c r="M8" i="5"/>
  <c r="M9" i="5"/>
  <c r="M12" i="5"/>
  <c r="N15" i="5"/>
  <c r="M3" i="5"/>
  <c r="M4" i="5"/>
  <c r="L6" i="5"/>
  <c r="M7" i="5"/>
  <c r="K10" i="5"/>
  <c r="Z10" i="5"/>
  <c r="M11" i="5"/>
  <c r="N12" i="5"/>
  <c r="K13" i="5"/>
  <c r="N13" i="5"/>
  <c r="X4" i="5"/>
  <c r="L5" i="5"/>
  <c r="M6" i="5"/>
  <c r="K7" i="5"/>
  <c r="N7" i="5"/>
  <c r="K8" i="5"/>
  <c r="N8" i="5"/>
  <c r="K9" i="5"/>
  <c r="N9" i="5"/>
  <c r="X10" i="5"/>
  <c r="K11" i="5"/>
  <c r="N11" i="5"/>
  <c r="N6" i="5"/>
  <c r="Z6" i="5"/>
  <c r="M5" i="5"/>
  <c r="Y5" i="5"/>
  <c r="L8" i="5"/>
  <c r="X8" i="5"/>
  <c r="X12" i="5"/>
  <c r="L13" i="5"/>
  <c r="X13" i="5"/>
  <c r="N16" i="5"/>
  <c r="Z16" i="5"/>
  <c r="K18" i="5"/>
  <c r="D35" i="5"/>
  <c r="J35" i="5"/>
  <c r="O35" i="5"/>
  <c r="F35" i="5"/>
  <c r="N35" i="5"/>
  <c r="C35" i="5"/>
  <c r="L35" i="5"/>
  <c r="B35" i="5"/>
  <c r="I35" i="5"/>
  <c r="M35" i="5"/>
  <c r="G35" i="5"/>
  <c r="K35" i="5"/>
  <c r="Q35" i="5"/>
  <c r="H35" i="5"/>
  <c r="P35" i="5"/>
  <c r="N4" i="5"/>
  <c r="Q4" i="5"/>
  <c r="B38" i="5"/>
  <c r="I38" i="5"/>
  <c r="C38" i="5"/>
  <c r="F38" i="5"/>
  <c r="D38" i="5"/>
  <c r="J38" i="5"/>
  <c r="G38" i="5"/>
  <c r="K38" i="5"/>
  <c r="H38" i="5"/>
  <c r="L11" i="5"/>
  <c r="O11" i="5"/>
  <c r="X11" i="5"/>
  <c r="Z9" i="5"/>
  <c r="N10" i="5"/>
  <c r="T10" i="5"/>
  <c r="Z5" i="5"/>
  <c r="X6" i="5"/>
  <c r="L9" i="5"/>
  <c r="U9" i="5"/>
  <c r="X7" i="5"/>
  <c r="L4" i="5"/>
  <c r="R4" i="5"/>
  <c r="Y4" i="5"/>
  <c r="Y11" i="5"/>
  <c r="Z3" i="5"/>
  <c r="Y3" i="5"/>
  <c r="Y9" i="5"/>
  <c r="Y10" i="5"/>
  <c r="Z8" i="5"/>
  <c r="X5" i="5"/>
  <c r="Z13" i="5"/>
  <c r="L10" i="5"/>
  <c r="U10" i="5"/>
  <c r="Y12" i="5"/>
  <c r="Z7" i="5"/>
  <c r="Y7" i="5"/>
  <c r="Z15" i="5"/>
  <c r="Z12" i="5"/>
  <c r="X3" i="5"/>
  <c r="Y6" i="5"/>
  <c r="Z11" i="5"/>
  <c r="Y8" i="5"/>
  <c r="M18" i="5"/>
  <c r="Y18" i="5"/>
  <c r="L15" i="5"/>
  <c r="X15" i="5"/>
  <c r="T16" i="5"/>
  <c r="W16" i="5"/>
  <c r="Q16" i="5"/>
  <c r="S11" i="5"/>
  <c r="P11" i="5"/>
  <c r="V11" i="5"/>
  <c r="R6" i="5"/>
  <c r="O6" i="5"/>
  <c r="U6" i="5"/>
  <c r="O12" i="5"/>
  <c r="U12" i="5"/>
  <c r="R12" i="5"/>
  <c r="V4" i="5"/>
  <c r="S4" i="5"/>
  <c r="P4" i="5"/>
  <c r="W15" i="5"/>
  <c r="Q15" i="5"/>
  <c r="T15" i="5"/>
  <c r="W9" i="5"/>
  <c r="Q9" i="5"/>
  <c r="T9" i="5"/>
  <c r="V5" i="5"/>
  <c r="S5" i="5"/>
  <c r="P5" i="5"/>
  <c r="V9" i="5"/>
  <c r="S9" i="5"/>
  <c r="P9" i="5"/>
  <c r="S10" i="5"/>
  <c r="P10" i="5"/>
  <c r="V10" i="5"/>
  <c r="W5" i="5"/>
  <c r="Q5" i="5"/>
  <c r="T5" i="5"/>
  <c r="T8" i="5"/>
  <c r="W8" i="5"/>
  <c r="Q8" i="5"/>
  <c r="W6" i="5"/>
  <c r="Q6" i="5"/>
  <c r="T6" i="5"/>
  <c r="S6" i="5"/>
  <c r="V6" i="5"/>
  <c r="P6" i="5"/>
  <c r="V12" i="5"/>
  <c r="S12" i="5"/>
  <c r="P12" i="5"/>
  <c r="U7" i="5"/>
  <c r="R7" i="5"/>
  <c r="O7" i="5"/>
  <c r="M15" i="5"/>
  <c r="Y15" i="5"/>
  <c r="L16" i="5"/>
  <c r="X16" i="5"/>
  <c r="M16" i="5"/>
  <c r="Y16" i="5"/>
  <c r="M13" i="5"/>
  <c r="Y13" i="5"/>
  <c r="L18" i="5"/>
  <c r="X18" i="5"/>
  <c r="N18" i="5"/>
  <c r="Z18" i="5"/>
  <c r="O13" i="5"/>
  <c r="R13" i="5"/>
  <c r="U13" i="5"/>
  <c r="W10" i="5"/>
  <c r="W3" i="5"/>
  <c r="Q3" i="5"/>
  <c r="T3" i="5"/>
  <c r="S7" i="5"/>
  <c r="P7" i="5"/>
  <c r="V7" i="5"/>
  <c r="S3" i="5"/>
  <c r="P3" i="5"/>
  <c r="V3" i="5"/>
  <c r="U8" i="5"/>
  <c r="R8" i="5"/>
  <c r="O8" i="5"/>
  <c r="U11" i="5"/>
  <c r="W7" i="5"/>
  <c r="Q7" i="5"/>
  <c r="T7" i="5"/>
  <c r="W13" i="5"/>
  <c r="Q13" i="5"/>
  <c r="T13" i="5"/>
  <c r="T12" i="5"/>
  <c r="W12" i="5"/>
  <c r="Q12" i="5"/>
  <c r="R3" i="5"/>
  <c r="U3" i="5"/>
  <c r="O3" i="5"/>
  <c r="W11" i="5"/>
  <c r="Q11" i="5"/>
  <c r="T11" i="5"/>
  <c r="O5" i="5"/>
  <c r="R5" i="5"/>
  <c r="U5" i="5"/>
  <c r="V8" i="5"/>
  <c r="S8" i="5"/>
  <c r="P8" i="5"/>
  <c r="W4" i="5"/>
  <c r="T4" i="5"/>
  <c r="B24" i="5"/>
  <c r="I24" i="5"/>
  <c r="M24" i="5"/>
  <c r="R11" i="5"/>
  <c r="C32" i="5"/>
  <c r="L32" i="5"/>
  <c r="C24" i="5"/>
  <c r="L24" i="5"/>
  <c r="H25" i="5"/>
  <c r="P25" i="5"/>
  <c r="G25" i="5"/>
  <c r="K25" i="5"/>
  <c r="B33" i="5"/>
  <c r="I33" i="5"/>
  <c r="M33" i="5"/>
  <c r="C33" i="5"/>
  <c r="L33" i="5"/>
  <c r="C34" i="5"/>
  <c r="L34" i="5"/>
  <c r="B34" i="5"/>
  <c r="I34" i="5"/>
  <c r="M34" i="5"/>
  <c r="B26" i="5"/>
  <c r="I26" i="5"/>
  <c r="M26" i="5"/>
  <c r="C26" i="5"/>
  <c r="L26" i="5"/>
  <c r="D27" i="5"/>
  <c r="J27" i="5"/>
  <c r="F27" i="5"/>
  <c r="N27" i="5"/>
  <c r="D33" i="5"/>
  <c r="J33" i="5"/>
  <c r="O33" i="5"/>
  <c r="F33" i="5"/>
  <c r="N33" i="5"/>
  <c r="G28" i="5"/>
  <c r="K28" i="5"/>
  <c r="H28" i="5"/>
  <c r="P28" i="5"/>
  <c r="B29" i="5"/>
  <c r="I29" i="5"/>
  <c r="M29" i="5"/>
  <c r="C29" i="5"/>
  <c r="L29" i="5"/>
  <c r="B28" i="5"/>
  <c r="I28" i="5"/>
  <c r="M28" i="5"/>
  <c r="C28" i="5"/>
  <c r="L28" i="5"/>
  <c r="G29" i="5"/>
  <c r="K29" i="5"/>
  <c r="H29" i="5"/>
  <c r="P29" i="5"/>
  <c r="G26" i="5"/>
  <c r="K26" i="5"/>
  <c r="H26" i="5"/>
  <c r="P26" i="5"/>
  <c r="D26" i="5"/>
  <c r="J26" i="5"/>
  <c r="F26" i="5"/>
  <c r="N26" i="5"/>
  <c r="H30" i="5"/>
  <c r="P30" i="5"/>
  <c r="G30" i="5"/>
  <c r="K30" i="5"/>
  <c r="B27" i="5"/>
  <c r="I27" i="5"/>
  <c r="M27" i="5"/>
  <c r="C27" i="5"/>
  <c r="L27" i="5"/>
  <c r="G27" i="5"/>
  <c r="K27" i="5"/>
  <c r="H27" i="5"/>
  <c r="P27" i="5"/>
  <c r="D28" i="5"/>
  <c r="J28" i="5"/>
  <c r="F28" i="5"/>
  <c r="N28" i="5"/>
  <c r="D31" i="5"/>
  <c r="J31" i="5"/>
  <c r="F31" i="5"/>
  <c r="N31" i="5"/>
  <c r="H36" i="5"/>
  <c r="P36" i="5"/>
  <c r="G36" i="5"/>
  <c r="K36" i="5"/>
  <c r="D32" i="5"/>
  <c r="J32" i="5"/>
  <c r="F32" i="5"/>
  <c r="N32" i="5"/>
  <c r="H32" i="5"/>
  <c r="P32" i="5"/>
  <c r="G32" i="5"/>
  <c r="K32" i="5"/>
  <c r="D29" i="5"/>
  <c r="J29" i="5"/>
  <c r="F29" i="5"/>
  <c r="N29" i="5"/>
  <c r="G33" i="5"/>
  <c r="K33" i="5"/>
  <c r="H33" i="5"/>
  <c r="P33" i="5"/>
  <c r="H34" i="5"/>
  <c r="P34" i="5"/>
  <c r="G34" i="5"/>
  <c r="K34" i="5"/>
  <c r="D30" i="5"/>
  <c r="J30" i="5"/>
  <c r="F30" i="5"/>
  <c r="N30" i="5"/>
  <c r="D25" i="5"/>
  <c r="J25" i="5"/>
  <c r="F25" i="5"/>
  <c r="N25" i="5"/>
  <c r="H37" i="5"/>
  <c r="P37" i="5"/>
  <c r="G37" i="5"/>
  <c r="K37" i="5"/>
  <c r="Q37" i="5"/>
  <c r="Q10" i="5"/>
  <c r="R9" i="5"/>
  <c r="O9" i="5"/>
  <c r="O10" i="5"/>
  <c r="R10" i="5"/>
  <c r="D24" i="5"/>
  <c r="F24" i="5"/>
  <c r="N24" i="5"/>
  <c r="H24" i="5"/>
  <c r="P24" i="5"/>
  <c r="G24" i="5"/>
  <c r="O4" i="5"/>
  <c r="U4" i="5"/>
  <c r="R15" i="5"/>
  <c r="O15" i="5"/>
  <c r="U15" i="5"/>
  <c r="S16" i="5"/>
  <c r="P16" i="5"/>
  <c r="V16" i="5"/>
  <c r="T18" i="5"/>
  <c r="W18" i="5"/>
  <c r="Q18" i="5"/>
  <c r="V13" i="5"/>
  <c r="S13" i="5"/>
  <c r="P13" i="5"/>
  <c r="U16" i="5"/>
  <c r="R16" i="5"/>
  <c r="O16" i="5"/>
  <c r="U18" i="5"/>
  <c r="O18" i="5"/>
  <c r="R18" i="5"/>
  <c r="S15" i="5"/>
  <c r="P15" i="5"/>
  <c r="V15" i="5"/>
  <c r="V18" i="5"/>
  <c r="S18" i="5"/>
  <c r="P18" i="5"/>
  <c r="J10" i="6"/>
  <c r="B32" i="5"/>
  <c r="I32" i="5"/>
  <c r="M32" i="5"/>
  <c r="D36" i="5"/>
  <c r="J36" i="5"/>
  <c r="F36" i="5"/>
  <c r="N36" i="5"/>
  <c r="F10" i="6"/>
  <c r="D34" i="5"/>
  <c r="J34" i="5"/>
  <c r="F34" i="5"/>
  <c r="N34" i="5"/>
  <c r="C37" i="5"/>
  <c r="L37" i="5"/>
  <c r="B37" i="5"/>
  <c r="I37" i="5"/>
  <c r="M37" i="5"/>
  <c r="C25" i="5"/>
  <c r="L25" i="5"/>
  <c r="B25" i="5"/>
  <c r="I25" i="5"/>
  <c r="M25" i="5"/>
  <c r="H31" i="5"/>
  <c r="P31" i="5"/>
  <c r="G31" i="5"/>
  <c r="K31" i="5"/>
  <c r="Q31" i="5"/>
  <c r="D39" i="5"/>
  <c r="J39" i="5"/>
  <c r="O39" i="5"/>
  <c r="F39" i="5"/>
  <c r="N39" i="5"/>
  <c r="C36" i="5"/>
  <c r="L36" i="5"/>
  <c r="B36" i="5"/>
  <c r="I36" i="5"/>
  <c r="M36" i="5"/>
  <c r="C31" i="5"/>
  <c r="L31" i="5"/>
  <c r="B31" i="5"/>
  <c r="I31" i="5"/>
  <c r="M31" i="5"/>
  <c r="B39" i="5"/>
  <c r="I39" i="5"/>
  <c r="M39" i="5"/>
  <c r="C39" i="5"/>
  <c r="L39" i="5"/>
  <c r="G39" i="5"/>
  <c r="K39" i="5"/>
  <c r="Q39" i="5"/>
  <c r="H39" i="5"/>
  <c r="P39" i="5"/>
  <c r="D37" i="5"/>
  <c r="J37" i="5"/>
  <c r="F37" i="5"/>
  <c r="N37" i="5"/>
  <c r="C30" i="5"/>
  <c r="L30" i="5"/>
  <c r="B30" i="5"/>
  <c r="I30" i="5"/>
  <c r="M30" i="5"/>
  <c r="O26" i="5"/>
  <c r="Q29" i="5"/>
  <c r="O32" i="5"/>
  <c r="O31" i="5"/>
  <c r="Q27" i="5"/>
  <c r="J24" i="5"/>
  <c r="O24" i="5"/>
  <c r="Q25" i="5"/>
  <c r="O25" i="5"/>
  <c r="Q34" i="5"/>
  <c r="Q36" i="5"/>
  <c r="O29" i="5"/>
  <c r="Q30" i="5"/>
  <c r="Q26" i="5"/>
  <c r="Q32" i="5"/>
  <c r="Q28" i="5"/>
  <c r="O27" i="5"/>
  <c r="O30" i="5"/>
  <c r="K24" i="5"/>
  <c r="Q24" i="5"/>
  <c r="O28" i="5"/>
  <c r="Q33" i="5"/>
  <c r="N38" i="5"/>
  <c r="M38" i="5"/>
  <c r="L38" i="5"/>
  <c r="P38" i="5"/>
  <c r="L10" i="6"/>
  <c r="D10" i="6"/>
  <c r="B10" i="6"/>
  <c r="O38" i="5"/>
  <c r="O36" i="5"/>
  <c r="H10" i="6"/>
  <c r="O37" i="5"/>
  <c r="Q38" i="5"/>
  <c r="O34" i="5"/>
</calcChain>
</file>

<file path=xl/sharedStrings.xml><?xml version="1.0" encoding="utf-8"?>
<sst xmlns="http://schemas.openxmlformats.org/spreadsheetml/2006/main" count="115" uniqueCount="81">
  <si>
    <t>Business Group</t>
  </si>
  <si>
    <t>Restaurants</t>
  </si>
  <si>
    <t>Retail Trade - Food &amp; Beverage Stores</t>
  </si>
  <si>
    <t>Services - Professional, Technical, &amp; Financial</t>
  </si>
  <si>
    <t>Services - Management, Administrative, Support, &amp; Social</t>
  </si>
  <si>
    <t>Multifamily</t>
  </si>
  <si>
    <t>Education</t>
  </si>
  <si>
    <t>Arts, Entertainment, &amp; Recreation</t>
  </si>
  <si>
    <t>Services - Repair &amp; Personal</t>
  </si>
  <si>
    <t>Durable Wholesale &amp; Trucking</t>
  </si>
  <si>
    <t>Medical &amp; Health</t>
  </si>
  <si>
    <t>Hotels &amp; Lodging</t>
  </si>
  <si>
    <t>Other</t>
  </si>
  <si>
    <t>Garbage</t>
  </si>
  <si>
    <t>Recycling</t>
  </si>
  <si>
    <t>Organics</t>
  </si>
  <si>
    <t>Manufacturing - All</t>
  </si>
  <si>
    <t># of employees</t>
  </si>
  <si>
    <t>CY per week (using employees from below)</t>
  </si>
  <si>
    <t>CY per year Generated per Employee (or Resident for Multi-Family Only)</t>
  </si>
  <si>
    <t>Gallons per week (using employees from below)</t>
  </si>
  <si>
    <t>Garbage cy per week</t>
  </si>
  <si>
    <t>Recycling cy per week</t>
  </si>
  <si>
    <t>Organics cy per week</t>
  </si>
  <si>
    <t>Garbage cy per year</t>
  </si>
  <si>
    <t>Recycling cy per year</t>
  </si>
  <si>
    <t>Organics cy per year</t>
  </si>
  <si>
    <t>Garbage gallons per week</t>
  </si>
  <si>
    <t>Recycling gallons per week</t>
  </si>
  <si>
    <t>Organics gallons per week</t>
  </si>
  <si>
    <t>Garbage 35-gallon</t>
  </si>
  <si>
    <t>Recycling 35-gallon</t>
  </si>
  <si>
    <t>Organics 35-gallon</t>
  </si>
  <si>
    <t>Garbage 95-gallon</t>
  </si>
  <si>
    <t>Recycling 95-gallon</t>
  </si>
  <si>
    <t>Organics 95-gallon</t>
  </si>
  <si>
    <t>Garbage 65-gallon</t>
  </si>
  <si>
    <t>Recycling 65-gallon</t>
  </si>
  <si>
    <t>Organics 65-gallon</t>
  </si>
  <si>
    <t>cy bin</t>
  </si>
  <si>
    <t>Garbage cy bin</t>
  </si>
  <si>
    <t>Recycling cy bin</t>
  </si>
  <si>
    <t>Organics cy bin</t>
  </si>
  <si>
    <t>Business selection</t>
  </si>
  <si>
    <t>Type of cart</t>
  </si>
  <si>
    <t>garbage min # of carts</t>
  </si>
  <si>
    <t>recycling min # of carts</t>
  </si>
  <si>
    <t>type of cart</t>
  </si>
  <si>
    <t>organics min # of carts</t>
  </si>
  <si>
    <t>size of garbage bin</t>
  </si>
  <si>
    <t>size of recycling bin</t>
  </si>
  <si>
    <t>size of organics bin</t>
  </si>
  <si>
    <t>Outputs</t>
  </si>
  <si>
    <t>Recommended Service Levels (weekly service default)</t>
  </si>
  <si>
    <t>1. Select the business group that is most representative of your business by clicking on the highlighted area below, and then selecting from the drop-down menu by clicking the "down-arrow" on the right:</t>
  </si>
  <si>
    <t>Please note that these are guidelines for planning purposes only. Right-sizing garbage, recycling, and organic service should be done on a business-by-business basis. Please contact your garbage hauler for help in selecting appropriate levels of garbage service.</t>
  </si>
  <si>
    <t>Public Administration</t>
  </si>
  <si>
    <t>2. Enter the number of anticipated employees (or residents for multifamily):</t>
  </si>
  <si>
    <t>Elk Grove Waste Calculator</t>
  </si>
  <si>
    <t>Generation Guidelines were developed for the City of Elk Grove using the 2014 Generator-Based Characterization of Commercial Sector Disposal and Diversion in California, available on CalRecycle’s website at: 
http://www.calrecycle.ca.gov/Publications/Detail.aspx?PublicationID=1543</t>
  </si>
  <si>
    <t>Garbage cy per year2</t>
  </si>
  <si>
    <t>Recycling cy per year3</t>
  </si>
  <si>
    <t>Organics cy per year4</t>
  </si>
  <si>
    <t>Adjustments per Calls</t>
  </si>
  <si>
    <t>Static Table</t>
  </si>
  <si>
    <t>Table 1 – Solid Waste Generation Guidelines</t>
  </si>
  <si>
    <t>Garbage gallons per Week per Employee</t>
  </si>
  <si>
    <t>Recycling gallons per Week per Employee</t>
  </si>
  <si>
    <t>Organics gallons per Week per Employee</t>
  </si>
  <si>
    <t>Services – Management, Administrative, Support, &amp; Social</t>
  </si>
  <si>
    <t>Services – Professional, Technical, &amp; Financial</t>
  </si>
  <si>
    <t>Services – Repair &amp; Personal</t>
  </si>
  <si>
    <t>Notes</t>
  </si>
  <si>
    <t>Suggested minimum garbage and recycling of 4 CY/Week</t>
  </si>
  <si>
    <t>Suggested minimum garbage and recycling of 8 CY/Week</t>
  </si>
  <si>
    <t>Suggested minimum garbage and recycling of 1 CY/Week</t>
  </si>
  <si>
    <t>Garbage Plus Recycling cy per year</t>
  </si>
  <si>
    <t>Retail Trade - General</t>
  </si>
  <si>
    <t>Retail Trade - General (with some food sales)</t>
  </si>
  <si>
    <t>Suggest scaling for very large employee counts (at 10 CY, increase by ½ of the estimate thereafter for Garbage and Recycling)</t>
  </si>
  <si>
    <t>Suggest scaling for very large employee counts (at 30 CY, increase by ½ of the estimate thereafter for Garbage and Recycling)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</si>
</sst>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ouble">
        <color rgb="FF3F3F3F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">
    <xf numFmtId="0" fontId="0" fillId="2" borderId="0"/>
    <xf numFmtId="0" fontId="3" fillId="2" borderId="0"/>
    <xf numFmtId="0" fontId="5" fillId="3" borderId="0" applyNumberFormat="0" applyAlignment="0" applyProtection="0"/>
    <xf numFmtId="0" fontId="7" fillId="2" borderId="0"/>
    <xf numFmtId="0" fontId="6" fillId="2" borderId="0" applyAlignment="0"/>
    <xf numFmtId="0" fontId="8" fillId="4" borderId="1" applyNumberFormat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102">
    <xf numFmtId="0" fontId="0" fillId="2" borderId="0" xfId="0" applyNumberFormat="1" applyFont="1" applyFill="1" applyBorder="1" applyAlignment="1" applyProtection="1"/>
    <xf numFmtId="49" fontId="4" fillId="3" borderId="5" xfId="2" applyNumberFormat="1" applyFont="1" applyFill="1" applyBorder="1" applyAlignment="1" applyProtection="1">
      <alignment vertical="center" wrapText="1"/>
    </xf>
    <xf numFmtId="0" fontId="9" fillId="6" borderId="5" xfId="7" applyNumberFormat="1" applyFont="1" applyBorder="1" applyAlignment="1" applyProtection="1">
      <alignment vertical="center" wrapText="1"/>
    </xf>
    <xf numFmtId="0" fontId="9" fillId="5" borderId="5" xfId="6" applyNumberFormat="1" applyFont="1" applyBorder="1" applyAlignment="1" applyProtection="1">
      <alignment horizontal="left" vertical="center" wrapText="1"/>
    </xf>
    <xf numFmtId="0" fontId="9" fillId="7" borderId="5" xfId="8" applyNumberFormat="1" applyFont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>
      <alignment vertical="center" wrapText="1"/>
    </xf>
    <xf numFmtId="49" fontId="4" fillId="3" borderId="4" xfId="2" applyNumberFormat="1" applyFont="1" applyFill="1" applyBorder="1" applyAlignment="1">
      <alignment vertical="center" wrapText="1"/>
    </xf>
    <xf numFmtId="0" fontId="1" fillId="6" borderId="10" xfId="7" applyNumberFormat="1" applyFont="1" applyBorder="1" applyAlignment="1" applyProtection="1">
      <alignment vertical="center" wrapText="1"/>
    </xf>
    <xf numFmtId="0" fontId="1" fillId="5" borderId="10" xfId="6" applyNumberFormat="1" applyFont="1" applyBorder="1" applyAlignment="1" applyProtection="1">
      <alignment vertical="center" wrapText="1"/>
    </xf>
    <xf numFmtId="0" fontId="1" fillId="7" borderId="10" xfId="8" applyNumberFormat="1" applyFont="1" applyBorder="1" applyAlignment="1" applyProtection="1">
      <alignment vertical="center" wrapText="1"/>
    </xf>
    <xf numFmtId="0" fontId="13" fillId="2" borderId="0" xfId="0" applyNumberFormat="1" applyFont="1" applyFill="1" applyBorder="1" applyAlignment="1" applyProtection="1">
      <alignment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2" fontId="13" fillId="2" borderId="7" xfId="0" applyNumberFormat="1" applyFont="1" applyBorder="1" applyAlignment="1">
      <alignment vertical="center" wrapText="1"/>
    </xf>
    <xf numFmtId="2" fontId="13" fillId="2" borderId="8" xfId="0" applyNumberFormat="1" applyFont="1" applyBorder="1" applyAlignment="1">
      <alignment vertical="center" wrapText="1"/>
    </xf>
    <xf numFmtId="2" fontId="13" fillId="8" borderId="7" xfId="0" applyNumberFormat="1" applyFont="1" applyFill="1" applyBorder="1" applyAlignment="1">
      <alignment vertical="center" wrapText="1"/>
    </xf>
    <xf numFmtId="2" fontId="13" fillId="8" borderId="8" xfId="0" applyNumberFormat="1" applyFont="1" applyFill="1" applyBorder="1" applyAlignment="1">
      <alignment vertical="center" wrapText="1"/>
    </xf>
    <xf numFmtId="0" fontId="13" fillId="8" borderId="9" xfId="0" applyNumberFormat="1" applyFont="1" applyFill="1" applyBorder="1" applyAlignment="1">
      <alignment vertical="center" wrapText="1"/>
    </xf>
    <xf numFmtId="1" fontId="13" fillId="2" borderId="0" xfId="0" applyNumberFormat="1" applyFont="1" applyFill="1" applyBorder="1" applyAlignment="1" applyProtection="1">
      <alignment vertical="center" wrapText="1"/>
    </xf>
    <xf numFmtId="0" fontId="13" fillId="2" borderId="4" xfId="0" applyNumberFormat="1" applyFont="1" applyBorder="1" applyAlignment="1">
      <alignment vertical="center" wrapText="1"/>
    </xf>
    <xf numFmtId="0" fontId="13" fillId="8" borderId="4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12" fillId="10" borderId="0" xfId="5" applyNumberFormat="1" applyFont="1" applyFill="1" applyBorder="1" applyAlignment="1" applyProtection="1">
      <alignment horizontal="left" vertical="center"/>
    </xf>
    <xf numFmtId="0" fontId="10" fillId="10" borderId="0" xfId="0" applyNumberFormat="1" applyFont="1" applyFill="1" applyBorder="1" applyAlignment="1" applyProtection="1">
      <alignment vertical="center"/>
    </xf>
    <xf numFmtId="0" fontId="10" fillId="10" borderId="13" xfId="0" applyNumberFormat="1" applyFont="1" applyFill="1" applyBorder="1" applyAlignment="1" applyProtection="1">
      <alignment vertical="center"/>
    </xf>
    <xf numFmtId="0" fontId="10" fillId="10" borderId="15" xfId="0" applyNumberFormat="1" applyFont="1" applyFill="1" applyBorder="1" applyAlignment="1" applyProtection="1">
      <alignment vertical="center"/>
    </xf>
    <xf numFmtId="0" fontId="10" fillId="10" borderId="16" xfId="0" applyNumberFormat="1" applyFont="1" applyFill="1" applyBorder="1" applyAlignment="1" applyProtection="1">
      <alignment vertical="center"/>
    </xf>
    <xf numFmtId="0" fontId="10" fillId="10" borderId="17" xfId="0" applyNumberFormat="1" applyFont="1" applyFill="1" applyBorder="1" applyAlignment="1" applyProtection="1">
      <alignment vertical="center"/>
    </xf>
    <xf numFmtId="0" fontId="10" fillId="10" borderId="18" xfId="0" applyNumberFormat="1" applyFont="1" applyFill="1" applyBorder="1" applyAlignment="1" applyProtection="1">
      <alignment vertical="center"/>
    </xf>
    <xf numFmtId="0" fontId="10" fillId="10" borderId="20" xfId="0" applyNumberFormat="1" applyFont="1" applyFill="1" applyBorder="1" applyAlignment="1" applyProtection="1">
      <alignment vertical="center"/>
    </xf>
    <xf numFmtId="0" fontId="9" fillId="10" borderId="5" xfId="7" applyNumberFormat="1" applyFont="1" applyFill="1" applyBorder="1" applyAlignment="1" applyProtection="1">
      <alignment horizontal="center" vertical="center"/>
    </xf>
    <xf numFmtId="0" fontId="9" fillId="10" borderId="5" xfId="8" applyNumberFormat="1" applyFont="1" applyFill="1" applyBorder="1" applyAlignment="1" applyProtection="1">
      <alignment horizontal="center" vertical="center"/>
    </xf>
    <xf numFmtId="0" fontId="9" fillId="10" borderId="10" xfId="6" applyNumberFormat="1" applyFont="1" applyFill="1" applyBorder="1" applyAlignment="1" applyProtection="1">
      <alignment horizontal="center" vertical="center"/>
    </xf>
    <xf numFmtId="0" fontId="10" fillId="10" borderId="22" xfId="0" applyNumberFormat="1" applyFont="1" applyFill="1" applyBorder="1" applyAlignment="1" applyProtection="1">
      <alignment vertical="center"/>
    </xf>
    <xf numFmtId="2" fontId="13" fillId="8" borderId="2" xfId="0" applyNumberFormat="1" applyFont="1" applyFill="1" applyBorder="1" applyAlignment="1">
      <alignment vertical="center" wrapText="1"/>
    </xf>
    <xf numFmtId="2" fontId="13" fillId="8" borderId="3" xfId="0" applyNumberFormat="1" applyFont="1" applyFill="1" applyBorder="1" applyAlignment="1">
      <alignment vertical="center" wrapText="1"/>
    </xf>
    <xf numFmtId="49" fontId="4" fillId="3" borderId="23" xfId="2" applyNumberFormat="1" applyFont="1" applyFill="1" applyBorder="1" applyAlignment="1">
      <alignment vertical="center" wrapText="1"/>
    </xf>
    <xf numFmtId="2" fontId="4" fillId="3" borderId="24" xfId="2" applyNumberFormat="1" applyFont="1" applyFill="1" applyBorder="1" applyAlignment="1">
      <alignment horizontal="center" vertical="center" wrapText="1"/>
    </xf>
    <xf numFmtId="2" fontId="4" fillId="9" borderId="24" xfId="2" applyNumberFormat="1" applyFont="1" applyFill="1" applyBorder="1" applyAlignment="1">
      <alignment horizontal="center" vertical="center" wrapText="1"/>
    </xf>
    <xf numFmtId="2" fontId="4" fillId="9" borderId="25" xfId="2" applyNumberFormat="1" applyFont="1" applyFill="1" applyBorder="1" applyAlignment="1">
      <alignment horizontal="center" vertical="center" wrapText="1"/>
    </xf>
    <xf numFmtId="0" fontId="13" fillId="8" borderId="23" xfId="0" applyNumberFormat="1" applyFont="1" applyFill="1" applyBorder="1" applyAlignment="1">
      <alignment vertical="center" wrapText="1"/>
    </xf>
    <xf numFmtId="2" fontId="13" fillId="8" borderId="21" xfId="0" applyNumberFormat="1" applyFont="1" applyFill="1" applyBorder="1" applyAlignment="1">
      <alignment vertical="center" wrapText="1"/>
    </xf>
    <xf numFmtId="2" fontId="13" fillId="15" borderId="21" xfId="0" applyNumberFormat="1" applyFont="1" applyFill="1" applyBorder="1" applyAlignment="1">
      <alignment vertical="center" wrapText="1"/>
    </xf>
    <xf numFmtId="2" fontId="13" fillId="8" borderId="23" xfId="0" applyNumberFormat="1" applyFont="1" applyFill="1" applyBorder="1" applyAlignment="1">
      <alignment vertical="center" wrapText="1"/>
    </xf>
    <xf numFmtId="2" fontId="13" fillId="8" borderId="26" xfId="0" applyNumberFormat="1" applyFont="1" applyFill="1" applyBorder="1" applyAlignment="1">
      <alignment vertical="center" wrapText="1"/>
    </xf>
    <xf numFmtId="0" fontId="13" fillId="2" borderId="27" xfId="0" applyNumberFormat="1" applyFont="1" applyBorder="1" applyAlignment="1">
      <alignment vertical="center" wrapText="1"/>
    </xf>
    <xf numFmtId="2" fontId="13" fillId="2" borderId="27" xfId="0" applyNumberFormat="1" applyFont="1" applyBorder="1" applyAlignment="1">
      <alignment vertical="center" wrapText="1"/>
    </xf>
    <xf numFmtId="0" fontId="13" fillId="8" borderId="27" xfId="0" applyNumberFormat="1" applyFont="1" applyFill="1" applyBorder="1" applyAlignment="1">
      <alignment vertical="center" wrapText="1"/>
    </xf>
    <xf numFmtId="2" fontId="13" fillId="8" borderId="27" xfId="0" applyNumberFormat="1" applyFont="1" applyFill="1" applyBorder="1" applyAlignment="1">
      <alignment vertical="center" wrapText="1"/>
    </xf>
    <xf numFmtId="2" fontId="13" fillId="8" borderId="4" xfId="0" applyNumberFormat="1" applyFont="1" applyFill="1" applyBorder="1" applyAlignment="1">
      <alignment vertical="center" wrapText="1"/>
    </xf>
    <xf numFmtId="2" fontId="13" fillId="15" borderId="7" xfId="0" applyNumberFormat="1" applyFont="1" applyFill="1" applyBorder="1" applyAlignment="1">
      <alignment vertical="center" wrapText="1"/>
    </xf>
    <xf numFmtId="0" fontId="13" fillId="0" borderId="27" xfId="0" applyNumberFormat="1" applyFont="1" applyFill="1" applyBorder="1" applyAlignment="1">
      <alignment vertical="center" wrapText="1"/>
    </xf>
    <xf numFmtId="2" fontId="13" fillId="0" borderId="7" xfId="0" applyNumberFormat="1" applyFont="1" applyFill="1" applyBorder="1" applyAlignment="1">
      <alignment vertical="center" wrapText="1"/>
    </xf>
    <xf numFmtId="2" fontId="13" fillId="0" borderId="27" xfId="0" applyNumberFormat="1" applyFont="1" applyFill="1" applyBorder="1" applyAlignment="1">
      <alignment vertical="center" wrapText="1"/>
    </xf>
    <xf numFmtId="2" fontId="13" fillId="0" borderId="8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2" fontId="13" fillId="2" borderId="0" xfId="0" applyNumberFormat="1" applyFont="1" applyFill="1" applyBorder="1" applyAlignment="1" applyProtection="1">
      <alignment vertical="center" wrapText="1"/>
    </xf>
    <xf numFmtId="2" fontId="13" fillId="15" borderId="2" xfId="0" applyNumberFormat="1" applyFont="1" applyFill="1" applyBorder="1" applyAlignment="1">
      <alignment vertical="center" wrapText="1"/>
    </xf>
    <xf numFmtId="2" fontId="13" fillId="11" borderId="7" xfId="0" applyNumberFormat="1" applyFont="1" applyFill="1" applyBorder="1" applyAlignment="1">
      <alignment vertical="center" wrapText="1"/>
    </xf>
    <xf numFmtId="2" fontId="13" fillId="0" borderId="5" xfId="0" applyNumberFormat="1" applyFont="1" applyFill="1" applyBorder="1" applyAlignment="1">
      <alignment vertical="center" wrapText="1"/>
    </xf>
    <xf numFmtId="0" fontId="17" fillId="17" borderId="5" xfId="0" applyNumberFormat="1" applyFont="1" applyFill="1" applyBorder="1" applyAlignment="1" applyProtection="1">
      <alignment wrapText="1"/>
    </xf>
    <xf numFmtId="0" fontId="17" fillId="2" borderId="5" xfId="0" applyNumberFormat="1" applyFont="1" applyFill="1" applyBorder="1" applyAlignment="1" applyProtection="1">
      <alignment wrapText="1"/>
    </xf>
    <xf numFmtId="0" fontId="17" fillId="18" borderId="5" xfId="0" applyNumberFormat="1" applyFont="1" applyFill="1" applyBorder="1" applyAlignment="1" applyProtection="1">
      <alignment wrapText="1"/>
    </xf>
    <xf numFmtId="0" fontId="17" fillId="2" borderId="0" xfId="0" applyNumberFormat="1" applyFont="1" applyFill="1" applyBorder="1" applyAlignment="1" applyProtection="1">
      <alignment vertical="center" wrapText="1"/>
    </xf>
    <xf numFmtId="0" fontId="17" fillId="17" borderId="5" xfId="0" applyNumberFormat="1" applyFont="1" applyFill="1" applyBorder="1" applyAlignment="1" applyProtection="1">
      <alignment horizontal="center" wrapText="1"/>
    </xf>
    <xf numFmtId="2" fontId="13" fillId="0" borderId="5" xfId="0" applyNumberFormat="1" applyFont="1" applyFill="1" applyBorder="1" applyAlignment="1">
      <alignment vertical="center" wrapText="1"/>
    </xf>
    <xf numFmtId="0" fontId="4" fillId="3" borderId="5" xfId="2" applyNumberFormat="1" applyFont="1" applyBorder="1" applyAlignment="1" applyProtection="1">
      <alignment horizontal="center" vertical="center" wrapText="1"/>
    </xf>
    <xf numFmtId="2" fontId="13" fillId="0" borderId="5" xfId="0" applyNumberFormat="1" applyFont="1" applyFill="1" applyBorder="1" applyAlignment="1">
      <alignment vertical="center" wrapText="1"/>
    </xf>
    <xf numFmtId="0" fontId="17" fillId="17" borderId="5" xfId="0" applyNumberFormat="1" applyFont="1" applyFill="1" applyBorder="1" applyAlignment="1" applyProtection="1">
      <alignment horizontal="center" wrapText="1"/>
    </xf>
    <xf numFmtId="2" fontId="13" fillId="8" borderId="0" xfId="0" applyNumberFormat="1" applyFont="1" applyFill="1" applyBorder="1" applyAlignment="1">
      <alignment vertical="center" wrapText="1"/>
    </xf>
    <xf numFmtId="2" fontId="13" fillId="15" borderId="0" xfId="0" applyNumberFormat="1" applyFont="1" applyFill="1" applyBorder="1" applyAlignment="1">
      <alignment vertical="center" wrapText="1"/>
    </xf>
    <xf numFmtId="2" fontId="13" fillId="11" borderId="0" xfId="0" applyNumberFormat="1" applyFont="1" applyFill="1" applyBorder="1" applyAlignment="1">
      <alignment vertical="center" wrapText="1"/>
    </xf>
    <xf numFmtId="2" fontId="13" fillId="0" borderId="5" xfId="0" applyNumberFormat="1" applyFont="1" applyFill="1" applyBorder="1" applyAlignment="1">
      <alignment vertical="center" wrapText="1"/>
    </xf>
    <xf numFmtId="0" fontId="17" fillId="0" borderId="5" xfId="0" applyNumberFormat="1" applyFont="1" applyFill="1" applyBorder="1" applyAlignment="1" applyProtection="1">
      <alignment wrapText="1"/>
    </xf>
    <xf numFmtId="0" fontId="16" fillId="10" borderId="19" xfId="0" applyNumberFormat="1" applyFont="1" applyFill="1" applyBorder="1" applyAlignment="1" applyProtection="1">
      <alignment horizontal="left" vertical="center" wrapText="1"/>
    </xf>
    <xf numFmtId="0" fontId="10" fillId="10" borderId="19" xfId="0" applyNumberFormat="1" applyFont="1" applyFill="1" applyBorder="1" applyAlignment="1" applyProtection="1">
      <alignment horizontal="left" vertical="center" wrapText="1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2" fillId="12" borderId="11" xfId="8" applyNumberFormat="1" applyFill="1" applyBorder="1" applyAlignment="1" applyProtection="1">
      <alignment horizontal="center" vertical="center"/>
    </xf>
    <xf numFmtId="0" fontId="2" fillId="12" borderId="12" xfId="8" applyNumberFormat="1" applyFill="1" applyBorder="1" applyAlignment="1" applyProtection="1">
      <alignment horizontal="center" vertical="center"/>
    </xf>
    <xf numFmtId="0" fontId="2" fillId="13" borderId="10" xfId="6" applyNumberFormat="1" applyFill="1" applyBorder="1" applyAlignment="1" applyProtection="1">
      <alignment horizontal="center" vertical="center" wrapText="1"/>
    </xf>
    <xf numFmtId="0" fontId="2" fillId="13" borderId="12" xfId="6" applyNumberFormat="1" applyFill="1" applyBorder="1" applyAlignment="1" applyProtection="1">
      <alignment horizontal="center" vertical="center" wrapText="1"/>
    </xf>
    <xf numFmtId="0" fontId="2" fillId="14" borderId="10" xfId="7" applyNumberFormat="1" applyFill="1" applyBorder="1" applyAlignment="1" applyProtection="1">
      <alignment horizontal="center" vertical="center" wrapText="1"/>
    </xf>
    <xf numFmtId="0" fontId="2" fillId="14" borderId="12" xfId="7" applyNumberForma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5" fillId="10" borderId="21" xfId="5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5" fillId="11" borderId="5" xfId="5" applyNumberFormat="1" applyFont="1" applyFill="1" applyBorder="1" applyAlignment="1" applyProtection="1">
      <alignment horizontal="center" vertical="center"/>
    </xf>
    <xf numFmtId="0" fontId="10" fillId="2" borderId="11" xfId="0" applyNumberFormat="1" applyFont="1" applyFill="1" applyBorder="1" applyAlignment="1" applyProtection="1">
      <alignment horizontal="left" vertical="center" wrapText="1"/>
    </xf>
    <xf numFmtId="0" fontId="10" fillId="2" borderId="6" xfId="0" applyNumberFormat="1" applyFont="1" applyFill="1" applyBorder="1" applyAlignment="1" applyProtection="1">
      <alignment horizontal="left" vertical="center"/>
    </xf>
    <xf numFmtId="2" fontId="13" fillId="0" borderId="10" xfId="0" applyNumberFormat="1" applyFont="1" applyFill="1" applyBorder="1" applyAlignment="1">
      <alignment horizontal="left" vertical="center" wrapText="1"/>
    </xf>
    <xf numFmtId="2" fontId="13" fillId="0" borderId="11" xfId="0" applyNumberFormat="1" applyFont="1" applyFill="1" applyBorder="1" applyAlignment="1">
      <alignment horizontal="left" vertical="center" wrapText="1"/>
    </xf>
    <xf numFmtId="2" fontId="13" fillId="0" borderId="12" xfId="0" applyNumberFormat="1" applyFont="1" applyFill="1" applyBorder="1" applyAlignment="1">
      <alignment horizontal="left" vertical="center" wrapText="1"/>
    </xf>
    <xf numFmtId="0" fontId="4" fillId="3" borderId="5" xfId="2" applyNumberFormat="1" applyFont="1" applyBorder="1" applyAlignment="1" applyProtection="1">
      <alignment horizontal="center" vertical="center" wrapText="1"/>
    </xf>
    <xf numFmtId="2" fontId="13" fillId="0" borderId="5" xfId="0" applyNumberFormat="1" applyFont="1" applyFill="1" applyBorder="1" applyAlignment="1">
      <alignment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2" fontId="13" fillId="0" borderId="10" xfId="0" applyNumberFormat="1" applyFont="1" applyFill="1" applyBorder="1" applyAlignment="1">
      <alignment vertical="center" wrapText="1"/>
    </xf>
    <xf numFmtId="2" fontId="13" fillId="0" borderId="11" xfId="0" applyNumberFormat="1" applyFont="1" applyFill="1" applyBorder="1" applyAlignment="1">
      <alignment vertical="center" wrapText="1"/>
    </xf>
    <xf numFmtId="2" fontId="13" fillId="0" borderId="12" xfId="0" applyNumberFormat="1" applyFont="1" applyFill="1" applyBorder="1" applyAlignment="1">
      <alignment vertical="center" wrapText="1"/>
    </xf>
    <xf numFmtId="0" fontId="17" fillId="16" borderId="5" xfId="0" applyNumberFormat="1" applyFont="1" applyFill="1" applyBorder="1" applyAlignment="1" applyProtection="1">
      <alignment horizontal="center" wrapText="1"/>
    </xf>
    <xf numFmtId="0" fontId="17" fillId="17" borderId="5" xfId="0" applyNumberFormat="1" applyFont="1" applyFill="1" applyBorder="1" applyAlignment="1" applyProtection="1">
      <alignment horizontal="center" wrapText="1"/>
    </xf>
  </cellXfs>
  <cellStyles count="9">
    <cellStyle name="40% - Accent1" xfId="6" builtinId="31"/>
    <cellStyle name="40% - Accent3" xfId="7" builtinId="39"/>
    <cellStyle name="40% - Accent6" xfId="8" builtinId="51"/>
    <cellStyle name="Accent5" xfId="2" builtinId="45"/>
    <cellStyle name="Hyperlink 2" xfId="4"/>
    <cellStyle name="Input" xfId="5" builtinId="20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2"/>
  <sheetViews>
    <sheetView tabSelected="1" workbookViewId="0">
      <selection activeCell="B5" sqref="B5:L5"/>
    </sheetView>
  </sheetViews>
  <sheetFormatPr defaultColWidth="9" defaultRowHeight="15.75" x14ac:dyDescent="0.35"/>
  <cols>
    <col min="1" max="1" width="9" style="21"/>
    <col min="2" max="2" width="9.73046875" style="22" customWidth="1"/>
    <col min="3" max="3" width="14.86328125" style="21" customWidth="1"/>
    <col min="4" max="4" width="9.73046875" style="21" customWidth="1"/>
    <col min="5" max="5" width="3" style="21" customWidth="1"/>
    <col min="6" max="6" width="9.73046875" style="21" customWidth="1"/>
    <col min="7" max="7" width="13.1328125" style="21" customWidth="1"/>
    <col min="8" max="8" width="9.73046875" style="21" customWidth="1"/>
    <col min="9" max="9" width="2.86328125" style="21" customWidth="1"/>
    <col min="10" max="10" width="9.73046875" style="21" customWidth="1"/>
    <col min="11" max="11" width="14.265625" style="21" customWidth="1"/>
    <col min="12" max="16384" width="9" style="21"/>
  </cols>
  <sheetData>
    <row r="1" spans="1:13" ht="49.5" customHeight="1" x14ac:dyDescent="0.35">
      <c r="A1" s="25"/>
      <c r="B1" s="77" t="s">
        <v>58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26"/>
    </row>
    <row r="2" spans="1:13" ht="39.75" customHeight="1" x14ac:dyDescent="0.35">
      <c r="A2" s="27"/>
      <c r="B2" s="89" t="s">
        <v>54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28"/>
    </row>
    <row r="3" spans="1:13" ht="27.75" customHeight="1" x14ac:dyDescent="0.35">
      <c r="A3" s="27"/>
      <c r="B3" s="88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28"/>
    </row>
    <row r="4" spans="1:13" s="20" customFormat="1" x14ac:dyDescent="0.35">
      <c r="A4" s="27"/>
      <c r="B4" s="23"/>
      <c r="C4" s="23"/>
      <c r="D4" s="23"/>
      <c r="E4" s="23"/>
      <c r="F4" s="23"/>
      <c r="G4" s="23"/>
      <c r="H4" s="23"/>
      <c r="I4" s="23"/>
      <c r="J4" s="23"/>
      <c r="K4" s="24"/>
      <c r="L4" s="24"/>
      <c r="M4" s="28"/>
    </row>
    <row r="5" spans="1:13" ht="55.5" customHeight="1" x14ac:dyDescent="0.35">
      <c r="A5" s="27"/>
      <c r="B5" s="90" t="s">
        <v>57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28"/>
    </row>
    <row r="6" spans="1:13" ht="26.25" customHeight="1" x14ac:dyDescent="0.35">
      <c r="A6" s="27"/>
      <c r="B6" s="88">
        <v>500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28"/>
    </row>
    <row r="7" spans="1:13" x14ac:dyDescent="0.35">
      <c r="A7" s="27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8"/>
    </row>
    <row r="8" spans="1:13" ht="42" customHeight="1" x14ac:dyDescent="0.35">
      <c r="A8" s="27"/>
      <c r="B8" s="84" t="s">
        <v>53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28"/>
    </row>
    <row r="9" spans="1:13" ht="50.25" customHeight="1" x14ac:dyDescent="0.35">
      <c r="A9" s="27"/>
      <c r="B9" s="85" t="s">
        <v>13</v>
      </c>
      <c r="C9" s="85"/>
      <c r="D9" s="85"/>
      <c r="E9" s="24"/>
      <c r="F9" s="86" t="s">
        <v>14</v>
      </c>
      <c r="G9" s="87"/>
      <c r="H9" s="87"/>
      <c r="I9" s="24"/>
      <c r="J9" s="86" t="s">
        <v>15</v>
      </c>
      <c r="K9" s="86"/>
      <c r="L9" s="86"/>
      <c r="M9" s="28"/>
    </row>
    <row r="10" spans="1:13" ht="51" customHeight="1" x14ac:dyDescent="0.35">
      <c r="A10" s="27"/>
      <c r="B10" s="82" t="str">
        <f>VLOOKUP(B3,'Source Data'!A23:R39,12,FALSE)</f>
        <v>Yardage of bin or box</v>
      </c>
      <c r="C10" s="83"/>
      <c r="D10" s="31">
        <f>VLOOKUP(B3,'Source Data'!A23:R39,13,FALSE)</f>
        <v>46</v>
      </c>
      <c r="E10" s="24"/>
      <c r="F10" s="80" t="str">
        <f>VLOOKUP(B3,'Source Data'!A23:R39,14,FALSE)</f>
        <v>Yardage of bin or box</v>
      </c>
      <c r="G10" s="81"/>
      <c r="H10" s="33">
        <f>VLOOKUP(B3,'Source Data'!A23:R39,15,FALSE)</f>
        <v>46</v>
      </c>
      <c r="I10" s="34"/>
      <c r="J10" s="78" t="str">
        <f>VLOOKUP(B3,'Source Data'!A23:R39,16,FALSE)</f>
        <v>Yardage of bin or box</v>
      </c>
      <c r="K10" s="79"/>
      <c r="L10" s="32">
        <f>VLOOKUP(B3,'Source Data'!A23:R39,17,FALSE)</f>
        <v>55</v>
      </c>
      <c r="M10" s="28"/>
    </row>
    <row r="11" spans="1:13" ht="51" customHeight="1" thickBot="1" x14ac:dyDescent="0.4">
      <c r="A11" s="27"/>
      <c r="B11" s="76" t="s">
        <v>55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28"/>
    </row>
    <row r="12" spans="1:13" ht="65.25" customHeight="1" thickBot="1" x14ac:dyDescent="0.4">
      <c r="A12" s="29"/>
      <c r="B12" s="75" t="s">
        <v>59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30"/>
    </row>
  </sheetData>
  <mergeCells count="14">
    <mergeCell ref="B12:L12"/>
    <mergeCell ref="B11:L11"/>
    <mergeCell ref="B1:L1"/>
    <mergeCell ref="J10:K10"/>
    <mergeCell ref="F10:G10"/>
    <mergeCell ref="B10:C10"/>
    <mergeCell ref="B8:L8"/>
    <mergeCell ref="B9:D9"/>
    <mergeCell ref="F9:H9"/>
    <mergeCell ref="J9:L9"/>
    <mergeCell ref="B3:L3"/>
    <mergeCell ref="B6:L6"/>
    <mergeCell ref="B2:L2"/>
    <mergeCell ref="B5:L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'Source Data'!$A$3:$A$18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zoomScaleNormal="100" workbookViewId="0">
      <selection activeCell="C8" sqref="C8"/>
    </sheetView>
  </sheetViews>
  <sheetFormatPr defaultColWidth="9.1328125" defaultRowHeight="13.15" x14ac:dyDescent="0.35"/>
  <cols>
    <col min="1" max="1" width="35.6640625" style="10" customWidth="1"/>
    <col min="2" max="2" width="13" style="10" customWidth="1"/>
    <col min="3" max="5" width="13.265625" style="10" customWidth="1"/>
    <col min="6" max="11" width="12.19921875" style="10" customWidth="1"/>
    <col min="12" max="26" width="13.265625" style="10" customWidth="1"/>
    <col min="27" max="16384" width="9.1328125" style="10"/>
  </cols>
  <sheetData>
    <row r="1" spans="1:26" ht="47.25" customHeight="1" x14ac:dyDescent="0.35">
      <c r="A1" s="1"/>
      <c r="B1" s="94" t="s">
        <v>19</v>
      </c>
      <c r="C1" s="94"/>
      <c r="D1" s="94"/>
      <c r="E1" s="67"/>
      <c r="F1" s="94" t="s">
        <v>63</v>
      </c>
      <c r="G1" s="94"/>
      <c r="H1" s="94"/>
      <c r="I1" s="94" t="s">
        <v>18</v>
      </c>
      <c r="J1" s="94"/>
      <c r="K1" s="94"/>
      <c r="L1" s="94" t="s">
        <v>20</v>
      </c>
      <c r="M1" s="94"/>
      <c r="N1" s="94"/>
      <c r="O1" s="94">
        <v>35</v>
      </c>
      <c r="P1" s="94"/>
      <c r="Q1" s="94"/>
      <c r="R1" s="94">
        <v>65</v>
      </c>
      <c r="S1" s="94"/>
      <c r="T1" s="94"/>
      <c r="U1" s="94">
        <v>95</v>
      </c>
      <c r="V1" s="94"/>
      <c r="W1" s="94"/>
      <c r="X1" s="94" t="s">
        <v>39</v>
      </c>
      <c r="Y1" s="94"/>
      <c r="Z1" s="94"/>
    </row>
    <row r="2" spans="1:26" s="11" customFormat="1" ht="49.5" customHeight="1" x14ac:dyDescent="0.35">
      <c r="A2" s="37" t="s">
        <v>0</v>
      </c>
      <c r="B2" s="38" t="s">
        <v>24</v>
      </c>
      <c r="C2" s="38" t="s">
        <v>25</v>
      </c>
      <c r="D2" s="38" t="s">
        <v>26</v>
      </c>
      <c r="E2" s="38" t="s">
        <v>76</v>
      </c>
      <c r="F2" s="38" t="s">
        <v>60</v>
      </c>
      <c r="G2" s="38" t="s">
        <v>61</v>
      </c>
      <c r="H2" s="38" t="s">
        <v>62</v>
      </c>
      <c r="I2" s="38" t="s">
        <v>21</v>
      </c>
      <c r="J2" s="38" t="s">
        <v>22</v>
      </c>
      <c r="K2" s="38" t="s">
        <v>23</v>
      </c>
      <c r="L2" s="38" t="s">
        <v>27</v>
      </c>
      <c r="M2" s="38" t="s">
        <v>28</v>
      </c>
      <c r="N2" s="38" t="s">
        <v>29</v>
      </c>
      <c r="O2" s="38" t="s">
        <v>30</v>
      </c>
      <c r="P2" s="38" t="s">
        <v>31</v>
      </c>
      <c r="Q2" s="38" t="s">
        <v>32</v>
      </c>
      <c r="R2" s="39" t="s">
        <v>36</v>
      </c>
      <c r="S2" s="39" t="s">
        <v>37</v>
      </c>
      <c r="T2" s="39" t="s">
        <v>38</v>
      </c>
      <c r="U2" s="39" t="s">
        <v>33</v>
      </c>
      <c r="V2" s="39" t="s">
        <v>34</v>
      </c>
      <c r="W2" s="39" t="s">
        <v>35</v>
      </c>
      <c r="X2" s="39" t="s">
        <v>40</v>
      </c>
      <c r="Y2" s="39" t="s">
        <v>41</v>
      </c>
      <c r="Z2" s="40" t="s">
        <v>42</v>
      </c>
    </row>
    <row r="3" spans="1:26" ht="14.25" customHeight="1" x14ac:dyDescent="0.35">
      <c r="A3" s="41" t="s">
        <v>7</v>
      </c>
      <c r="B3" s="42">
        <v>17.87</v>
      </c>
      <c r="C3" s="42">
        <v>5.23</v>
      </c>
      <c r="D3" s="42">
        <v>0.34</v>
      </c>
      <c r="E3" s="71">
        <f>B3+D3</f>
        <v>18.21</v>
      </c>
      <c r="F3" s="72">
        <f>'Source Data'!$E3/2</f>
        <v>9.1050000000000004</v>
      </c>
      <c r="G3" s="71">
        <f>C3</f>
        <v>5.23</v>
      </c>
      <c r="H3" s="72">
        <f>'Source Data'!$E3/2</f>
        <v>9.1050000000000004</v>
      </c>
      <c r="I3" s="43">
        <f>IF(F3/52*$B$21&gt;4, F3/52*$B$21, 4)</f>
        <v>87.54807692307692</v>
      </c>
      <c r="J3" s="43">
        <f>IF(G3/52*$B$21&gt;4,G3/52*$B$21,4)</f>
        <v>50.288461538461547</v>
      </c>
      <c r="K3" s="42">
        <f t="shared" ref="K3:K11" si="0">H3/52*$B$21</f>
        <v>87.54807692307692</v>
      </c>
      <c r="L3" s="42">
        <f>I3*27/0.134</f>
        <v>17640.284156142363</v>
      </c>
      <c r="M3" s="42">
        <f t="shared" ref="M3:N18" si="1">J3*27/0.134</f>
        <v>10132.749712973595</v>
      </c>
      <c r="N3" s="42">
        <f t="shared" si="1"/>
        <v>17640.284156142363</v>
      </c>
      <c r="O3" s="42">
        <f t="shared" ref="O3:O18" si="2">ROUNDUP($L3/O$1,0)</f>
        <v>505</v>
      </c>
      <c r="P3" s="42">
        <f t="shared" ref="P3:P18" si="3">ROUNDUP($M3/O$1,0)</f>
        <v>290</v>
      </c>
      <c r="Q3" s="42">
        <f t="shared" ref="Q3:Q18" si="4">ROUNDUP($N3/O$1,0)</f>
        <v>505</v>
      </c>
      <c r="R3" s="42">
        <f t="shared" ref="R3:R18" si="5">ROUNDUP($L3/R$1,0)</f>
        <v>272</v>
      </c>
      <c r="S3" s="42">
        <f t="shared" ref="S3:S18" si="6">ROUNDUP($M3/R$1,0)</f>
        <v>156</v>
      </c>
      <c r="T3" s="42">
        <f t="shared" ref="T3:T18" si="7">ROUNDUP($N3/R$1,0)</f>
        <v>272</v>
      </c>
      <c r="U3" s="44">
        <f>ROUNDUP($L3/U$1,0)</f>
        <v>186</v>
      </c>
      <c r="V3" s="42">
        <f t="shared" ref="V3:V18" si="8">ROUNDUP($M3/U$1,0)</f>
        <v>107</v>
      </c>
      <c r="W3" s="42">
        <f t="shared" ref="W3:W18" si="9">ROUNDUP($N3/U$1,0)</f>
        <v>186</v>
      </c>
      <c r="X3" s="42">
        <f>ROUNDUP('Source Data'!$I3,0)</f>
        <v>88</v>
      </c>
      <c r="Y3" s="42">
        <f>ROUNDUP('Source Data'!$J3,0)</f>
        <v>51</v>
      </c>
      <c r="Z3" s="45">
        <f>ROUNDUP('Source Data'!$K3,0)</f>
        <v>88</v>
      </c>
    </row>
    <row r="4" spans="1:26" s="56" customFormat="1" x14ac:dyDescent="0.35">
      <c r="A4" s="52" t="s">
        <v>9</v>
      </c>
      <c r="B4" s="53">
        <v>11.9</v>
      </c>
      <c r="C4" s="53">
        <v>2.56</v>
      </c>
      <c r="D4" s="53">
        <v>0</v>
      </c>
      <c r="E4" s="70">
        <f>B4+C4</f>
        <v>14.46</v>
      </c>
      <c r="F4" s="72">
        <f>'Source Data'!$E4/2</f>
        <v>7.23</v>
      </c>
      <c r="G4" s="71">
        <f>'Source Data'!$E4/2</f>
        <v>7.23</v>
      </c>
      <c r="H4" s="53">
        <f>'Source Data'!$D4</f>
        <v>0</v>
      </c>
      <c r="I4" s="59">
        <f>IF((F4/52*$B$21)&gt;10,IF(F4/52*$B$21/2&lt;10,10,F4/52*$B$21/2),F4/52*$B$21)</f>
        <v>34.759615384615387</v>
      </c>
      <c r="J4" s="59">
        <f>IF(G4/52*$B$21&gt;10,IF(G4/52*$B$21/2&lt;10,10,G4/52*$B$21/2),G4/52*$B$21)</f>
        <v>34.759615384615387</v>
      </c>
      <c r="K4" s="53">
        <f t="shared" si="0"/>
        <v>0</v>
      </c>
      <c r="L4" s="53">
        <f t="shared" ref="L4:L18" si="10">I4*27/0.134</f>
        <v>7003.80309988519</v>
      </c>
      <c r="M4" s="53">
        <f t="shared" si="1"/>
        <v>7003.80309988519</v>
      </c>
      <c r="N4" s="53">
        <f t="shared" si="1"/>
        <v>0</v>
      </c>
      <c r="O4" s="53">
        <f t="shared" si="2"/>
        <v>201</v>
      </c>
      <c r="P4" s="53">
        <f t="shared" si="3"/>
        <v>201</v>
      </c>
      <c r="Q4" s="53">
        <f t="shared" si="4"/>
        <v>0</v>
      </c>
      <c r="R4" s="53">
        <f t="shared" si="5"/>
        <v>108</v>
      </c>
      <c r="S4" s="53">
        <f t="shared" si="6"/>
        <v>108</v>
      </c>
      <c r="T4" s="53">
        <f t="shared" si="7"/>
        <v>0</v>
      </c>
      <c r="U4" s="54">
        <f t="shared" ref="U4:U18" si="11">ROUNDUP($L4/U$1,0)</f>
        <v>74</v>
      </c>
      <c r="V4" s="53">
        <f t="shared" si="8"/>
        <v>74</v>
      </c>
      <c r="W4" s="53">
        <f t="shared" si="9"/>
        <v>0</v>
      </c>
      <c r="X4" s="53">
        <f>ROUNDUP('Source Data'!$I4,0)</f>
        <v>35</v>
      </c>
      <c r="Y4" s="53">
        <f>ROUNDUP('Source Data'!$J4,0)</f>
        <v>35</v>
      </c>
      <c r="Z4" s="55">
        <f>ROUNDUP('Source Data'!$K4,0)</f>
        <v>0</v>
      </c>
    </row>
    <row r="5" spans="1:26" x14ac:dyDescent="0.35">
      <c r="A5" s="48" t="s">
        <v>6</v>
      </c>
      <c r="B5" s="14">
        <v>6.15</v>
      </c>
      <c r="C5" s="14">
        <v>2.19</v>
      </c>
      <c r="D5" s="14">
        <v>0.15</v>
      </c>
      <c r="E5" s="70">
        <f t="shared" ref="E5:E17" si="12">B5+C5</f>
        <v>8.34</v>
      </c>
      <c r="F5" s="72">
        <f>'Source Data'!$E5/2</f>
        <v>4.17</v>
      </c>
      <c r="G5" s="71">
        <f>'Source Data'!$E5/2</f>
        <v>4.17</v>
      </c>
      <c r="H5" s="14">
        <f>'Source Data'!$D5*2</f>
        <v>0.3</v>
      </c>
      <c r="I5" s="14">
        <f>F5/52*$B$21</f>
        <v>40.096153846153847</v>
      </c>
      <c r="J5" s="14">
        <f>G5/52*$B$21</f>
        <v>40.096153846153847</v>
      </c>
      <c r="K5" s="14">
        <f t="shared" si="0"/>
        <v>2.8846153846153841</v>
      </c>
      <c r="L5" s="14">
        <f t="shared" si="10"/>
        <v>8079.0757749712966</v>
      </c>
      <c r="M5" s="14">
        <f t="shared" si="1"/>
        <v>8079.0757749712966</v>
      </c>
      <c r="N5" s="14">
        <f t="shared" si="1"/>
        <v>581.22847301951765</v>
      </c>
      <c r="O5" s="14">
        <f t="shared" si="2"/>
        <v>231</v>
      </c>
      <c r="P5" s="14">
        <f t="shared" si="3"/>
        <v>231</v>
      </c>
      <c r="Q5" s="14">
        <f t="shared" si="4"/>
        <v>17</v>
      </c>
      <c r="R5" s="14">
        <f t="shared" si="5"/>
        <v>125</v>
      </c>
      <c r="S5" s="14">
        <f t="shared" si="6"/>
        <v>125</v>
      </c>
      <c r="T5" s="14">
        <f t="shared" si="7"/>
        <v>9</v>
      </c>
      <c r="U5" s="49">
        <f t="shared" si="11"/>
        <v>86</v>
      </c>
      <c r="V5" s="14">
        <f t="shared" si="8"/>
        <v>86</v>
      </c>
      <c r="W5" s="14">
        <f t="shared" si="9"/>
        <v>7</v>
      </c>
      <c r="X5" s="14">
        <f>ROUNDUP('Source Data'!$I5,0)</f>
        <v>41</v>
      </c>
      <c r="Y5" s="14">
        <f>ROUNDUP('Source Data'!$J5,0)</f>
        <v>41</v>
      </c>
      <c r="Z5" s="15">
        <f>ROUNDUP('Source Data'!$K5,0)</f>
        <v>3</v>
      </c>
    </row>
    <row r="6" spans="1:26" x14ac:dyDescent="0.35">
      <c r="A6" s="46" t="s">
        <v>11</v>
      </c>
      <c r="B6" s="12">
        <v>18.920000000000002</v>
      </c>
      <c r="C6" s="12">
        <v>4.3899999999999997</v>
      </c>
      <c r="D6" s="12">
        <v>0.19</v>
      </c>
      <c r="E6" s="70"/>
      <c r="F6" s="71">
        <f>'Source Data'!$B6*1.7</f>
        <v>32.164000000000001</v>
      </c>
      <c r="G6" s="71">
        <f>'Source Data'!$C6*5</f>
        <v>21.95</v>
      </c>
      <c r="H6" s="51">
        <f>'Source Data'!$D6*2</f>
        <v>0.38</v>
      </c>
      <c r="I6" s="59">
        <f>IF(F6/52*$B$21&gt;8, F6/52*$B$21, 8)</f>
        <v>309.26923076923077</v>
      </c>
      <c r="J6" s="59">
        <f>IF(G6/52*$B$21&gt;8,G6/52*$B$21,8)</f>
        <v>211.05769230769232</v>
      </c>
      <c r="K6" s="12">
        <f t="shared" si="0"/>
        <v>3.6538461538461537</v>
      </c>
      <c r="L6" s="12">
        <f t="shared" si="10"/>
        <v>62315.442020665898</v>
      </c>
      <c r="M6" s="12">
        <f t="shared" si="1"/>
        <v>42526.54994259472</v>
      </c>
      <c r="N6" s="12">
        <f t="shared" si="1"/>
        <v>736.22273249138914</v>
      </c>
      <c r="O6" s="12">
        <f t="shared" si="2"/>
        <v>1781</v>
      </c>
      <c r="P6" s="12">
        <f t="shared" si="3"/>
        <v>1216</v>
      </c>
      <c r="Q6" s="12">
        <f t="shared" si="4"/>
        <v>22</v>
      </c>
      <c r="R6" s="12">
        <f t="shared" si="5"/>
        <v>959</v>
      </c>
      <c r="S6" s="12">
        <f t="shared" si="6"/>
        <v>655</v>
      </c>
      <c r="T6" s="12">
        <f t="shared" si="7"/>
        <v>12</v>
      </c>
      <c r="U6" s="47">
        <f t="shared" si="11"/>
        <v>656</v>
      </c>
      <c r="V6" s="12">
        <f t="shared" si="8"/>
        <v>448</v>
      </c>
      <c r="W6" s="12">
        <f t="shared" si="9"/>
        <v>8</v>
      </c>
      <c r="X6" s="12">
        <f>ROUNDUP('Source Data'!$I6,0)</f>
        <v>310</v>
      </c>
      <c r="Y6" s="12">
        <f>ROUNDUP('Source Data'!$J6,0)</f>
        <v>212</v>
      </c>
      <c r="Z6" s="13">
        <f>ROUNDUP('Source Data'!$K6,0)</f>
        <v>4</v>
      </c>
    </row>
    <row r="7" spans="1:26" x14ac:dyDescent="0.35">
      <c r="A7" s="48" t="s">
        <v>16</v>
      </c>
      <c r="B7" s="14">
        <v>10.846666666666666</v>
      </c>
      <c r="C7" s="14">
        <v>2.5833333333333335</v>
      </c>
      <c r="D7" s="14">
        <v>4.6666666666666669E-2</v>
      </c>
      <c r="E7" s="70"/>
      <c r="F7" s="71">
        <f>'Source Data'!$B7*1.5</f>
        <v>16.27</v>
      </c>
      <c r="G7" s="71">
        <f>'Source Data'!$C7*4</f>
        <v>10.333333333333334</v>
      </c>
      <c r="H7" s="51">
        <f>'Source Data'!$D7*2</f>
        <v>9.3333333333333338E-2</v>
      </c>
      <c r="I7" s="51">
        <f t="shared" ref="I7" si="13">IF(F7/52*$B$21&gt;4, F7/52*$B$21, 4)</f>
        <v>156.44230769230768</v>
      </c>
      <c r="J7" s="51">
        <f>IF(G7/52*$B$21&gt;4,G7/52*$B$21,4)</f>
        <v>99.358974358974365</v>
      </c>
      <c r="K7" s="14">
        <f t="shared" si="0"/>
        <v>0.89743589743589747</v>
      </c>
      <c r="L7" s="14">
        <f t="shared" si="10"/>
        <v>31521.957520091844</v>
      </c>
      <c r="M7" s="14">
        <f t="shared" si="1"/>
        <v>20020.091848450054</v>
      </c>
      <c r="N7" s="14">
        <f t="shared" si="1"/>
        <v>180.82663605051664</v>
      </c>
      <c r="O7" s="14">
        <f t="shared" si="2"/>
        <v>901</v>
      </c>
      <c r="P7" s="14">
        <f t="shared" si="3"/>
        <v>573</v>
      </c>
      <c r="Q7" s="14">
        <f t="shared" si="4"/>
        <v>6</v>
      </c>
      <c r="R7" s="14">
        <f t="shared" si="5"/>
        <v>485</v>
      </c>
      <c r="S7" s="14">
        <f t="shared" si="6"/>
        <v>309</v>
      </c>
      <c r="T7" s="14">
        <f t="shared" si="7"/>
        <v>3</v>
      </c>
      <c r="U7" s="49">
        <f t="shared" si="11"/>
        <v>332</v>
      </c>
      <c r="V7" s="14">
        <f t="shared" si="8"/>
        <v>211</v>
      </c>
      <c r="W7" s="14">
        <f t="shared" si="9"/>
        <v>2</v>
      </c>
      <c r="X7" s="14">
        <f>ROUNDUP('Source Data'!$I7,0)</f>
        <v>157</v>
      </c>
      <c r="Y7" s="14">
        <f>ROUNDUP('Source Data'!$J7,0)</f>
        <v>100</v>
      </c>
      <c r="Z7" s="15">
        <f>ROUNDUP('Source Data'!$K7,0)</f>
        <v>1</v>
      </c>
    </row>
    <row r="8" spans="1:26" s="56" customFormat="1" x14ac:dyDescent="0.35">
      <c r="A8" s="52" t="s">
        <v>10</v>
      </c>
      <c r="B8" s="53">
        <v>10.14</v>
      </c>
      <c r="C8" s="53">
        <v>2.69</v>
      </c>
      <c r="D8" s="53">
        <v>0.1</v>
      </c>
      <c r="E8" s="70">
        <f t="shared" si="12"/>
        <v>12.83</v>
      </c>
      <c r="F8" s="72">
        <f>'Source Data'!$E8/2</f>
        <v>6.415</v>
      </c>
      <c r="G8" s="71">
        <f>'Source Data'!$E8/2</f>
        <v>6.415</v>
      </c>
      <c r="H8" s="53">
        <f>'Source Data'!$D8</f>
        <v>0.1</v>
      </c>
      <c r="I8" s="53">
        <f>F8/52*$B$21</f>
        <v>61.682692307692307</v>
      </c>
      <c r="J8" s="53">
        <f t="shared" ref="I8:J11" si="14">G8/52*$B$21</f>
        <v>61.682692307692307</v>
      </c>
      <c r="K8" s="53">
        <f t="shared" si="0"/>
        <v>0.96153846153846156</v>
      </c>
      <c r="L8" s="53">
        <f t="shared" si="10"/>
        <v>12428.602181400689</v>
      </c>
      <c r="M8" s="53">
        <f t="shared" si="1"/>
        <v>12428.602181400689</v>
      </c>
      <c r="N8" s="53">
        <f t="shared" si="1"/>
        <v>193.74282433983927</v>
      </c>
      <c r="O8" s="53">
        <f t="shared" si="2"/>
        <v>356</v>
      </c>
      <c r="P8" s="53">
        <f t="shared" si="3"/>
        <v>356</v>
      </c>
      <c r="Q8" s="53">
        <f t="shared" si="4"/>
        <v>6</v>
      </c>
      <c r="R8" s="53">
        <f t="shared" si="5"/>
        <v>192</v>
      </c>
      <c r="S8" s="53">
        <f t="shared" si="6"/>
        <v>192</v>
      </c>
      <c r="T8" s="53">
        <f t="shared" si="7"/>
        <v>3</v>
      </c>
      <c r="U8" s="54">
        <f t="shared" si="11"/>
        <v>131</v>
      </c>
      <c r="V8" s="53">
        <f t="shared" si="8"/>
        <v>131</v>
      </c>
      <c r="W8" s="53">
        <f t="shared" si="9"/>
        <v>3</v>
      </c>
      <c r="X8" s="53">
        <f>ROUNDUP('Source Data'!$I8,0)</f>
        <v>62</v>
      </c>
      <c r="Y8" s="53">
        <f>ROUNDUP('Source Data'!$J8,0)</f>
        <v>62</v>
      </c>
      <c r="Z8" s="55">
        <f>ROUNDUP('Source Data'!$K8,0)</f>
        <v>1</v>
      </c>
    </row>
    <row r="9" spans="1:26" ht="13.15" customHeight="1" x14ac:dyDescent="0.35">
      <c r="A9" s="48" t="s">
        <v>5</v>
      </c>
      <c r="B9" s="14">
        <v>0.73946692170655604</v>
      </c>
      <c r="C9" s="14">
        <v>5.6385450758803604</v>
      </c>
      <c r="D9" s="14">
        <v>3.6376091804033997E-3</v>
      </c>
      <c r="E9" s="71">
        <f>(B9*9)+C9+D9</f>
        <v>12.297384980419768</v>
      </c>
      <c r="F9" s="71">
        <f>('Source Data'!$E9-H9)/2</f>
        <v>4.8021288348539191</v>
      </c>
      <c r="G9" s="71">
        <f>('Source Data'!$E9-H9)/2</f>
        <v>4.8021288348539191</v>
      </c>
      <c r="H9" s="71">
        <f>'Source Data'!$E9*0.438*0.5</f>
        <v>2.6931273107119291</v>
      </c>
      <c r="I9" s="14">
        <f t="shared" si="14"/>
        <v>46.174315719749217</v>
      </c>
      <c r="J9" s="14">
        <f t="shared" si="14"/>
        <v>46.174315719749217</v>
      </c>
      <c r="K9" s="14">
        <f t="shared" si="0"/>
        <v>25.895454910691626</v>
      </c>
      <c r="L9" s="14">
        <f t="shared" si="10"/>
        <v>9303.7800330837963</v>
      </c>
      <c r="M9" s="14">
        <f t="shared" si="1"/>
        <v>9303.7800330837963</v>
      </c>
      <c r="N9" s="14">
        <f t="shared" si="1"/>
        <v>5217.7409148408506</v>
      </c>
      <c r="O9" s="14">
        <f t="shared" si="2"/>
        <v>266</v>
      </c>
      <c r="P9" s="14">
        <f t="shared" si="3"/>
        <v>266</v>
      </c>
      <c r="Q9" s="14">
        <f t="shared" si="4"/>
        <v>150</v>
      </c>
      <c r="R9" s="14">
        <f t="shared" si="5"/>
        <v>144</v>
      </c>
      <c r="S9" s="14">
        <f t="shared" si="6"/>
        <v>144</v>
      </c>
      <c r="T9" s="14">
        <f t="shared" si="7"/>
        <v>81</v>
      </c>
      <c r="U9" s="49">
        <f t="shared" si="11"/>
        <v>98</v>
      </c>
      <c r="V9" s="14">
        <f t="shared" si="8"/>
        <v>98</v>
      </c>
      <c r="W9" s="14">
        <f t="shared" si="9"/>
        <v>55</v>
      </c>
      <c r="X9" s="14">
        <f>ROUNDUP('Source Data'!$I9,0)</f>
        <v>47</v>
      </c>
      <c r="Y9" s="14">
        <f>ROUNDUP('Source Data'!$J9,0)</f>
        <v>47</v>
      </c>
      <c r="Z9" s="15">
        <f>ROUNDUP('Source Data'!$K9,0)</f>
        <v>26</v>
      </c>
    </row>
    <row r="10" spans="1:26" s="56" customFormat="1" x14ac:dyDescent="0.35">
      <c r="A10" s="52" t="s">
        <v>12</v>
      </c>
      <c r="B10" s="53">
        <v>15.5</v>
      </c>
      <c r="C10" s="53">
        <v>5.09</v>
      </c>
      <c r="D10" s="53">
        <v>0.04</v>
      </c>
      <c r="E10" s="70">
        <f t="shared" si="12"/>
        <v>20.59</v>
      </c>
      <c r="F10" s="72">
        <f>'Source Data'!$E10/2</f>
        <v>10.295</v>
      </c>
      <c r="G10" s="71">
        <f>'Source Data'!$E10/2</f>
        <v>10.295</v>
      </c>
      <c r="H10" s="59">
        <f>'Source Data'!$D10*2</f>
        <v>0.08</v>
      </c>
      <c r="I10" s="53">
        <f t="shared" si="14"/>
        <v>98.990384615384613</v>
      </c>
      <c r="J10" s="53">
        <f t="shared" si="14"/>
        <v>98.990384615384613</v>
      </c>
      <c r="K10" s="53">
        <f t="shared" si="0"/>
        <v>0.76923076923076927</v>
      </c>
      <c r="L10" s="53">
        <f t="shared" si="10"/>
        <v>19945.823765786452</v>
      </c>
      <c r="M10" s="53">
        <f t="shared" si="1"/>
        <v>19945.823765786452</v>
      </c>
      <c r="N10" s="53">
        <f t="shared" si="1"/>
        <v>154.9942594718714</v>
      </c>
      <c r="O10" s="53">
        <f t="shared" si="2"/>
        <v>570</v>
      </c>
      <c r="P10" s="53">
        <f t="shared" si="3"/>
        <v>570</v>
      </c>
      <c r="Q10" s="53">
        <f t="shared" si="4"/>
        <v>5</v>
      </c>
      <c r="R10" s="53">
        <f t="shared" si="5"/>
        <v>307</v>
      </c>
      <c r="S10" s="53">
        <f t="shared" si="6"/>
        <v>307</v>
      </c>
      <c r="T10" s="53">
        <f t="shared" si="7"/>
        <v>3</v>
      </c>
      <c r="U10" s="54">
        <f t="shared" si="11"/>
        <v>210</v>
      </c>
      <c r="V10" s="53">
        <f t="shared" si="8"/>
        <v>210</v>
      </c>
      <c r="W10" s="53">
        <f t="shared" si="9"/>
        <v>2</v>
      </c>
      <c r="X10" s="53">
        <f>ROUNDUP('Source Data'!$I10,0)</f>
        <v>99</v>
      </c>
      <c r="Y10" s="53">
        <f>ROUNDUP('Source Data'!$J10,0)</f>
        <v>99</v>
      </c>
      <c r="Z10" s="55">
        <f>ROUNDUP('Source Data'!$K10,0)</f>
        <v>1</v>
      </c>
    </row>
    <row r="11" spans="1:26" x14ac:dyDescent="0.35">
      <c r="A11" s="48" t="s">
        <v>56</v>
      </c>
      <c r="B11" s="14">
        <v>4.8899999999999997</v>
      </c>
      <c r="C11" s="14">
        <v>1.52</v>
      </c>
      <c r="D11" s="14">
        <v>0.08</v>
      </c>
      <c r="E11" s="70">
        <f t="shared" si="12"/>
        <v>6.41</v>
      </c>
      <c r="F11" s="72">
        <f>'Source Data'!$E11/2</f>
        <v>3.2050000000000001</v>
      </c>
      <c r="G11" s="71">
        <f>'Source Data'!$E11/2</f>
        <v>3.2050000000000001</v>
      </c>
      <c r="H11" s="51">
        <f>'Source Data'!$D11*2</f>
        <v>0.16</v>
      </c>
      <c r="I11" s="14">
        <f t="shared" si="14"/>
        <v>30.817307692307693</v>
      </c>
      <c r="J11" s="14">
        <f t="shared" si="14"/>
        <v>30.817307692307693</v>
      </c>
      <c r="K11" s="14">
        <f t="shared" si="0"/>
        <v>1.5384615384615385</v>
      </c>
      <c r="L11" s="14">
        <f t="shared" si="10"/>
        <v>6209.457520091848</v>
      </c>
      <c r="M11" s="14">
        <f t="shared" si="1"/>
        <v>6209.457520091848</v>
      </c>
      <c r="N11" s="14">
        <f t="shared" si="1"/>
        <v>309.9885189437428</v>
      </c>
      <c r="O11" s="14">
        <f t="shared" si="2"/>
        <v>178</v>
      </c>
      <c r="P11" s="14">
        <f t="shared" si="3"/>
        <v>178</v>
      </c>
      <c r="Q11" s="14">
        <f t="shared" si="4"/>
        <v>9</v>
      </c>
      <c r="R11" s="14">
        <f t="shared" si="5"/>
        <v>96</v>
      </c>
      <c r="S11" s="14">
        <f t="shared" si="6"/>
        <v>96</v>
      </c>
      <c r="T11" s="14">
        <f t="shared" si="7"/>
        <v>5</v>
      </c>
      <c r="U11" s="49">
        <f t="shared" si="11"/>
        <v>66</v>
      </c>
      <c r="V11" s="14">
        <f t="shared" si="8"/>
        <v>66</v>
      </c>
      <c r="W11" s="14">
        <f t="shared" si="9"/>
        <v>4</v>
      </c>
      <c r="X11" s="14">
        <f>ROUNDUP('Source Data'!$I11,0)</f>
        <v>31</v>
      </c>
      <c r="Y11" s="14">
        <f>ROUNDUP('Source Data'!$J11,0)</f>
        <v>31</v>
      </c>
      <c r="Z11" s="15">
        <f>ROUNDUP('Source Data'!$K11,0)</f>
        <v>2</v>
      </c>
    </row>
    <row r="12" spans="1:26" s="56" customFormat="1" x14ac:dyDescent="0.35">
      <c r="A12" s="52" t="s">
        <v>1</v>
      </c>
      <c r="B12" s="53">
        <v>19.88</v>
      </c>
      <c r="C12" s="53">
        <v>6.75</v>
      </c>
      <c r="D12" s="53">
        <v>0.62</v>
      </c>
      <c r="E12" s="70"/>
      <c r="F12" s="72">
        <f>'Source Data'!$B12/2.25</f>
        <v>8.8355555555555547</v>
      </c>
      <c r="G12" s="72">
        <f>'Source Data'!$C12*1.5</f>
        <v>10.125</v>
      </c>
      <c r="H12" s="59">
        <f>'Source Data'!$D12*13</f>
        <v>8.06</v>
      </c>
      <c r="I12" s="59">
        <f>IF(F12/52*$B$21&gt;1, F12/52*$B$21, 1)</f>
        <v>84.957264957264954</v>
      </c>
      <c r="J12" s="59">
        <f>IF(G12/52*$B$21&gt;1,G12/52*$B$21,1)</f>
        <v>97.355769230769226</v>
      </c>
      <c r="K12" s="59">
        <f>IF(H12/52*$B$21&gt;1,H12/52*$B$21,1)</f>
        <v>77.5</v>
      </c>
      <c r="L12" s="53">
        <f>I12*27/0.134</f>
        <v>17118.254879448908</v>
      </c>
      <c r="M12" s="53">
        <f t="shared" si="1"/>
        <v>19616.460964408721</v>
      </c>
      <c r="N12" s="53">
        <f t="shared" si="1"/>
        <v>15615.671641791045</v>
      </c>
      <c r="O12" s="53">
        <f t="shared" si="2"/>
        <v>490</v>
      </c>
      <c r="P12" s="53">
        <f t="shared" si="3"/>
        <v>561</v>
      </c>
      <c r="Q12" s="53">
        <f t="shared" si="4"/>
        <v>447</v>
      </c>
      <c r="R12" s="53">
        <f t="shared" si="5"/>
        <v>264</v>
      </c>
      <c r="S12" s="53">
        <f t="shared" si="6"/>
        <v>302</v>
      </c>
      <c r="T12" s="53">
        <f t="shared" si="7"/>
        <v>241</v>
      </c>
      <c r="U12" s="54">
        <f t="shared" si="11"/>
        <v>181</v>
      </c>
      <c r="V12" s="53">
        <f t="shared" si="8"/>
        <v>207</v>
      </c>
      <c r="W12" s="53">
        <f t="shared" si="9"/>
        <v>165</v>
      </c>
      <c r="X12" s="53">
        <f>ROUNDUP('Source Data'!$I12,0)</f>
        <v>85</v>
      </c>
      <c r="Y12" s="53">
        <f>ROUNDUP('Source Data'!$J12,0)</f>
        <v>98</v>
      </c>
      <c r="Z12" s="55">
        <f>ROUNDUP('Source Data'!$K12,0)</f>
        <v>78</v>
      </c>
    </row>
    <row r="13" spans="1:26" ht="14.75" customHeight="1" x14ac:dyDescent="0.35">
      <c r="A13" s="48" t="s">
        <v>77</v>
      </c>
      <c r="B13" s="14">
        <v>24.99</v>
      </c>
      <c r="C13" s="14">
        <v>5.78</v>
      </c>
      <c r="D13" s="14">
        <v>0</v>
      </c>
      <c r="E13" s="70">
        <f t="shared" si="12"/>
        <v>30.77</v>
      </c>
      <c r="F13" s="72">
        <f>'Source Data'!$E13/2</f>
        <v>15.385</v>
      </c>
      <c r="G13" s="71">
        <f>'Source Data'!$E13/2</f>
        <v>15.385</v>
      </c>
      <c r="H13" s="14">
        <f>'Source Data'!$D13</f>
        <v>0</v>
      </c>
      <c r="I13" s="14">
        <f t="shared" ref="I13:K14" si="15">F13/52*$B$21</f>
        <v>147.93269230769229</v>
      </c>
      <c r="J13" s="14">
        <f t="shared" si="15"/>
        <v>147.93269230769229</v>
      </c>
      <c r="K13" s="14">
        <f t="shared" si="15"/>
        <v>0</v>
      </c>
      <c r="L13" s="14">
        <f t="shared" si="10"/>
        <v>29807.333524684265</v>
      </c>
      <c r="M13" s="14">
        <f t="shared" si="1"/>
        <v>29807.333524684265</v>
      </c>
      <c r="N13" s="14">
        <f t="shared" si="1"/>
        <v>0</v>
      </c>
      <c r="O13" s="14">
        <f t="shared" si="2"/>
        <v>852</v>
      </c>
      <c r="P13" s="14">
        <f t="shared" si="3"/>
        <v>852</v>
      </c>
      <c r="Q13" s="14">
        <f t="shared" si="4"/>
        <v>0</v>
      </c>
      <c r="R13" s="14">
        <f t="shared" si="5"/>
        <v>459</v>
      </c>
      <c r="S13" s="14">
        <f t="shared" si="6"/>
        <v>459</v>
      </c>
      <c r="T13" s="14">
        <f t="shared" si="7"/>
        <v>0</v>
      </c>
      <c r="U13" s="49">
        <f t="shared" si="11"/>
        <v>314</v>
      </c>
      <c r="V13" s="14">
        <f t="shared" si="8"/>
        <v>314</v>
      </c>
      <c r="W13" s="14">
        <f t="shared" si="9"/>
        <v>0</v>
      </c>
      <c r="X13" s="14">
        <f>ROUNDUP('Source Data'!$I13,0)</f>
        <v>148</v>
      </c>
      <c r="Y13" s="14">
        <f>ROUNDUP('Source Data'!$J13,0)</f>
        <v>148</v>
      </c>
      <c r="Z13" s="15">
        <f>ROUNDUP('Source Data'!$K13,0)</f>
        <v>0</v>
      </c>
    </row>
    <row r="14" spans="1:26" ht="14.75" customHeight="1" x14ac:dyDescent="0.35">
      <c r="A14" s="48" t="s">
        <v>78</v>
      </c>
      <c r="B14" s="14">
        <v>24.99</v>
      </c>
      <c r="C14" s="14">
        <v>5.78</v>
      </c>
      <c r="D14" s="14">
        <v>0</v>
      </c>
      <c r="E14" s="70">
        <f>B14+C14</f>
        <v>30.77</v>
      </c>
      <c r="F14" s="72">
        <f>'Source Data'!$E14/2</f>
        <v>15.385</v>
      </c>
      <c r="G14" s="71">
        <f>'Source Data'!$E14/2</f>
        <v>15.385</v>
      </c>
      <c r="H14" s="51">
        <f>H18</f>
        <v>0.3</v>
      </c>
      <c r="I14" s="14">
        <f t="shared" si="15"/>
        <v>147.93269230769229</v>
      </c>
      <c r="J14" s="14">
        <f t="shared" si="15"/>
        <v>147.93269230769229</v>
      </c>
      <c r="K14" s="14">
        <f t="shared" si="15"/>
        <v>2.8846153846153841</v>
      </c>
      <c r="L14" s="14">
        <f t="shared" ref="L14" si="16">I14*27/0.134</f>
        <v>29807.333524684265</v>
      </c>
      <c r="M14" s="14">
        <f t="shared" ref="M14" si="17">J14*27/0.134</f>
        <v>29807.333524684265</v>
      </c>
      <c r="N14" s="14">
        <f t="shared" ref="N14" si="18">K14*27/0.134</f>
        <v>581.22847301951765</v>
      </c>
      <c r="O14" s="14">
        <f t="shared" si="2"/>
        <v>852</v>
      </c>
      <c r="P14" s="14">
        <f t="shared" ref="P14" si="19">ROUNDUP($M14/O$1,0)</f>
        <v>852</v>
      </c>
      <c r="Q14" s="14">
        <f t="shared" ref="Q14" si="20">ROUNDUP($N14/O$1,0)</f>
        <v>17</v>
      </c>
      <c r="R14" s="14">
        <f t="shared" si="5"/>
        <v>459</v>
      </c>
      <c r="S14" s="14">
        <f t="shared" ref="S14" si="21">ROUNDUP($M14/R$1,0)</f>
        <v>459</v>
      </c>
      <c r="T14" s="14">
        <f t="shared" ref="T14" si="22">ROUNDUP($N14/R$1,0)</f>
        <v>9</v>
      </c>
      <c r="U14" s="49">
        <f t="shared" si="11"/>
        <v>314</v>
      </c>
      <c r="V14" s="14">
        <f t="shared" ref="V14" si="23">ROUNDUP($M14/U$1,0)</f>
        <v>314</v>
      </c>
      <c r="W14" s="14">
        <f t="shared" ref="W14" si="24">ROUNDUP($N14/U$1,0)</f>
        <v>7</v>
      </c>
      <c r="X14" s="14">
        <f>ROUNDUP('Source Data'!$I14,0)</f>
        <v>148</v>
      </c>
      <c r="Y14" s="14">
        <f>ROUNDUP('Source Data'!$J14,0)</f>
        <v>148</v>
      </c>
      <c r="Z14" s="15">
        <f>ROUNDUP('Source Data'!$K14,0)</f>
        <v>3</v>
      </c>
    </row>
    <row r="15" spans="1:26" s="56" customFormat="1" ht="14.75" customHeight="1" x14ac:dyDescent="0.35">
      <c r="A15" s="52" t="s">
        <v>2</v>
      </c>
      <c r="B15" s="53">
        <v>19.260000000000002</v>
      </c>
      <c r="C15" s="53">
        <v>6.09</v>
      </c>
      <c r="D15" s="53">
        <v>1.42</v>
      </c>
      <c r="E15" s="71">
        <f>B15/1.5+C15</f>
        <v>18.93</v>
      </c>
      <c r="F15" s="72">
        <f>'Source Data'!$E15/2</f>
        <v>9.4649999999999999</v>
      </c>
      <c r="G15" s="71">
        <f>'Source Data'!$E15/2</f>
        <v>9.4649999999999999</v>
      </c>
      <c r="H15" s="59">
        <f>'Source Data'!$D15*8</f>
        <v>11.36</v>
      </c>
      <c r="I15" s="59">
        <f>IF(F15/52*$B$21&gt;30,IF(F15/52*$B$21/2&lt;30,30, F15/52*$B$21/2),F15/52*$B$21)</f>
        <v>45.504807692307693</v>
      </c>
      <c r="J15" s="59">
        <f>IF(G15/52*$B$21&gt;30,IF(G15/52*$B$21/2&lt;30,30,G15/52*$B$21/2),G15/52*$B$21)</f>
        <v>45.504807692307693</v>
      </c>
      <c r="K15" s="59">
        <f>IF(H15/52*$B$21&gt;30,IF(H15/52*$B$21/2&lt;30,30,H15/52*$B$21/2),H15/52*$B$21)</f>
        <v>54.615384615384613</v>
      </c>
      <c r="L15" s="53">
        <f t="shared" si="10"/>
        <v>9168.8791618828927</v>
      </c>
      <c r="M15" s="53">
        <f t="shared" si="1"/>
        <v>9168.8791618828927</v>
      </c>
      <c r="N15" s="53">
        <f t="shared" si="1"/>
        <v>11004.592422502868</v>
      </c>
      <c r="O15" s="53">
        <f t="shared" si="2"/>
        <v>262</v>
      </c>
      <c r="P15" s="53">
        <f t="shared" si="3"/>
        <v>262</v>
      </c>
      <c r="Q15" s="53">
        <f t="shared" si="4"/>
        <v>315</v>
      </c>
      <c r="R15" s="53">
        <f t="shared" si="5"/>
        <v>142</v>
      </c>
      <c r="S15" s="53">
        <f t="shared" si="6"/>
        <v>142</v>
      </c>
      <c r="T15" s="53">
        <f t="shared" si="7"/>
        <v>170</v>
      </c>
      <c r="U15" s="54">
        <f t="shared" si="11"/>
        <v>97</v>
      </c>
      <c r="V15" s="53">
        <f t="shared" si="8"/>
        <v>97</v>
      </c>
      <c r="W15" s="53">
        <f t="shared" si="9"/>
        <v>116</v>
      </c>
      <c r="X15" s="53">
        <f>ROUNDUP('Source Data'!$I15,0)</f>
        <v>46</v>
      </c>
      <c r="Y15" s="53">
        <f>ROUNDUP('Source Data'!$J15,0)</f>
        <v>46</v>
      </c>
      <c r="Z15" s="55">
        <f>ROUNDUP('Source Data'!$K15,0)</f>
        <v>55</v>
      </c>
    </row>
    <row r="16" spans="1:26" ht="26.25" x14ac:dyDescent="0.35">
      <c r="A16" s="48" t="s">
        <v>4</v>
      </c>
      <c r="B16" s="14">
        <v>10.65</v>
      </c>
      <c r="C16" s="14">
        <v>2.54</v>
      </c>
      <c r="D16" s="14">
        <v>7.85</v>
      </c>
      <c r="E16" s="70">
        <f t="shared" si="12"/>
        <v>13.190000000000001</v>
      </c>
      <c r="F16" s="72">
        <f>'Source Data'!$E16/2</f>
        <v>6.5950000000000006</v>
      </c>
      <c r="G16" s="71">
        <f>'Source Data'!$E16/2</f>
        <v>6.5950000000000006</v>
      </c>
      <c r="H16" s="51">
        <f>'Source Data'!$D16*2</f>
        <v>15.7</v>
      </c>
      <c r="I16" s="14">
        <f t="shared" ref="I16:K17" si="25">F16/52*$B$21</f>
        <v>63.41346153846154</v>
      </c>
      <c r="J16" s="14">
        <f t="shared" si="25"/>
        <v>63.41346153846154</v>
      </c>
      <c r="K16" s="14">
        <f t="shared" si="25"/>
        <v>150.96153846153845</v>
      </c>
      <c r="L16" s="14">
        <f t="shared" si="10"/>
        <v>12777.3392652124</v>
      </c>
      <c r="M16" s="14">
        <f t="shared" si="1"/>
        <v>12777.3392652124</v>
      </c>
      <c r="N16" s="14">
        <f t="shared" si="1"/>
        <v>30417.623421354761</v>
      </c>
      <c r="O16" s="14">
        <f t="shared" si="2"/>
        <v>366</v>
      </c>
      <c r="P16" s="14">
        <f t="shared" si="3"/>
        <v>366</v>
      </c>
      <c r="Q16" s="14">
        <f t="shared" si="4"/>
        <v>870</v>
      </c>
      <c r="R16" s="14">
        <f t="shared" si="5"/>
        <v>197</v>
      </c>
      <c r="S16" s="14">
        <f t="shared" si="6"/>
        <v>197</v>
      </c>
      <c r="T16" s="14">
        <f t="shared" si="7"/>
        <v>468</v>
      </c>
      <c r="U16" s="49">
        <f t="shared" si="11"/>
        <v>135</v>
      </c>
      <c r="V16" s="14">
        <f t="shared" si="8"/>
        <v>135</v>
      </c>
      <c r="W16" s="14">
        <f t="shared" si="9"/>
        <v>321</v>
      </c>
      <c r="X16" s="14">
        <f>ROUNDUP('Source Data'!$I16,0)</f>
        <v>64</v>
      </c>
      <c r="Y16" s="14">
        <f>ROUNDUP('Source Data'!$J16,0)</f>
        <v>64</v>
      </c>
      <c r="Z16" s="15">
        <f>ROUNDUP('Source Data'!$K16,0)</f>
        <v>151</v>
      </c>
    </row>
    <row r="17" spans="1:26" s="56" customFormat="1" x14ac:dyDescent="0.35">
      <c r="A17" s="52" t="s">
        <v>3</v>
      </c>
      <c r="B17" s="53">
        <v>20.68</v>
      </c>
      <c r="C17" s="53">
        <v>6.64</v>
      </c>
      <c r="D17" s="53">
        <v>0</v>
      </c>
      <c r="E17" s="70">
        <f t="shared" si="12"/>
        <v>27.32</v>
      </c>
      <c r="F17" s="72">
        <f>'Source Data'!$E17/2</f>
        <v>13.66</v>
      </c>
      <c r="G17" s="71">
        <f>'Source Data'!$E17/2</f>
        <v>13.66</v>
      </c>
      <c r="H17" s="53">
        <f>'Source Data'!$D17</f>
        <v>0</v>
      </c>
      <c r="I17" s="53">
        <f t="shared" si="25"/>
        <v>131.34615384615384</v>
      </c>
      <c r="J17" s="53">
        <f t="shared" si="25"/>
        <v>131.34615384615384</v>
      </c>
      <c r="K17" s="53">
        <f t="shared" si="25"/>
        <v>0</v>
      </c>
      <c r="L17" s="53">
        <f>I17*27/0.134</f>
        <v>26465.269804822041</v>
      </c>
      <c r="M17" s="53">
        <f>J17*27/0.134</f>
        <v>26465.269804822041</v>
      </c>
      <c r="N17" s="53">
        <f>K17*27/0.134</f>
        <v>0</v>
      </c>
      <c r="O17" s="53">
        <f>ROUNDUP($L17/O$1,0)</f>
        <v>757</v>
      </c>
      <c r="P17" s="53">
        <f>ROUNDUP($M17/O$1,0)</f>
        <v>757</v>
      </c>
      <c r="Q17" s="53">
        <f>ROUNDUP($N17/O$1,0)</f>
        <v>0</v>
      </c>
      <c r="R17" s="53">
        <f>ROUNDUP($L17/R$1,0)</f>
        <v>408</v>
      </c>
      <c r="S17" s="53">
        <f>ROUNDUP($M17/R$1,0)</f>
        <v>408</v>
      </c>
      <c r="T17" s="53">
        <f>ROUNDUP($N17/R$1,0)</f>
        <v>0</v>
      </c>
      <c r="U17" s="54">
        <f>ROUNDUP($L17/U$1,0)</f>
        <v>279</v>
      </c>
      <c r="V17" s="53">
        <f>ROUNDUP($M17/U$1,0)</f>
        <v>279</v>
      </c>
      <c r="W17" s="53">
        <f>ROUNDUP($N17/U$1,0)</f>
        <v>0</v>
      </c>
      <c r="X17" s="53">
        <f>ROUNDUP('Source Data'!$I17,0)</f>
        <v>132</v>
      </c>
      <c r="Y17" s="53">
        <f>ROUNDUP('Source Data'!$J17,0)</f>
        <v>132</v>
      </c>
      <c r="Z17" s="55">
        <f>ROUNDUP('Source Data'!$K17,0)</f>
        <v>0</v>
      </c>
    </row>
    <row r="18" spans="1:26" x14ac:dyDescent="0.35">
      <c r="A18" s="19" t="s">
        <v>8</v>
      </c>
      <c r="B18" s="35">
        <v>9.66</v>
      </c>
      <c r="C18" s="35">
        <v>2.13</v>
      </c>
      <c r="D18" s="35">
        <v>0.15</v>
      </c>
      <c r="E18" s="70">
        <f>B18+C18*2</f>
        <v>13.92</v>
      </c>
      <c r="F18" s="72">
        <f>'Source Data'!$E18/2</f>
        <v>6.96</v>
      </c>
      <c r="G18" s="71">
        <f>'Source Data'!$E18/2</f>
        <v>6.96</v>
      </c>
      <c r="H18" s="58">
        <f>'Source Data'!$D18*2</f>
        <v>0.3</v>
      </c>
      <c r="I18" s="58">
        <f>IF(F18/52*$B$21&gt;10,IF(F18/52*$B$21/2&lt;10,10,F18/52*$B$21/2),F18/52*$B$21)</f>
        <v>33.46153846153846</v>
      </c>
      <c r="J18" s="58">
        <f>IF(G18/52*$B$21&gt;15,IF(G18/52*$B$21/2&lt;15,15,G18/52*$B$21/2),G18/52*$B$21)</f>
        <v>33.46153846153846</v>
      </c>
      <c r="K18" s="35">
        <f>H18/52*$B$21</f>
        <v>2.8846153846153841</v>
      </c>
      <c r="L18" s="35">
        <f t="shared" si="10"/>
        <v>6742.2502870264061</v>
      </c>
      <c r="M18" s="35">
        <f t="shared" si="1"/>
        <v>6742.2502870264061</v>
      </c>
      <c r="N18" s="35">
        <f t="shared" si="1"/>
        <v>581.22847301951765</v>
      </c>
      <c r="O18" s="35">
        <f t="shared" si="2"/>
        <v>193</v>
      </c>
      <c r="P18" s="35">
        <f t="shared" si="3"/>
        <v>193</v>
      </c>
      <c r="Q18" s="35">
        <f t="shared" si="4"/>
        <v>17</v>
      </c>
      <c r="R18" s="35">
        <f t="shared" si="5"/>
        <v>104</v>
      </c>
      <c r="S18" s="35">
        <f t="shared" si="6"/>
        <v>104</v>
      </c>
      <c r="T18" s="35">
        <f t="shared" si="7"/>
        <v>9</v>
      </c>
      <c r="U18" s="50">
        <f t="shared" si="11"/>
        <v>71</v>
      </c>
      <c r="V18" s="35">
        <f t="shared" si="8"/>
        <v>71</v>
      </c>
      <c r="W18" s="35">
        <f t="shared" si="9"/>
        <v>7</v>
      </c>
      <c r="X18" s="35">
        <f>ROUNDUP('Source Data'!$I18,0)</f>
        <v>34</v>
      </c>
      <c r="Y18" s="35">
        <f>ROUNDUP('Source Data'!$J18,0)</f>
        <v>34</v>
      </c>
      <c r="Z18" s="36">
        <f>ROUNDUP('Source Data'!$K18,0)</f>
        <v>3</v>
      </c>
    </row>
    <row r="19" spans="1:26" x14ac:dyDescent="0.35">
      <c r="H19" s="57"/>
    </row>
    <row r="20" spans="1:26" ht="39.4" x14ac:dyDescent="0.35">
      <c r="A20" s="10" t="s">
        <v>43</v>
      </c>
      <c r="B20" s="10" t="str">
        <f>'Generation Calculator'!B3:J3</f>
        <v>Retail Trade - Food &amp; Beverage Stores</v>
      </c>
    </row>
    <row r="21" spans="1:26" x14ac:dyDescent="0.35">
      <c r="A21" s="10" t="s">
        <v>17</v>
      </c>
      <c r="B21" s="10">
        <f>'Generation Calculator'!B6</f>
        <v>500</v>
      </c>
    </row>
    <row r="23" spans="1:26" ht="26.65" thickBot="1" x14ac:dyDescent="0.4">
      <c r="A23" s="6" t="s">
        <v>0</v>
      </c>
      <c r="B23" s="10" t="s">
        <v>45</v>
      </c>
      <c r="C23" s="10" t="s">
        <v>44</v>
      </c>
      <c r="D23" s="10" t="s">
        <v>46</v>
      </c>
      <c r="F23" s="10" t="s">
        <v>47</v>
      </c>
      <c r="G23" s="10" t="s">
        <v>48</v>
      </c>
      <c r="H23" s="10" t="s">
        <v>47</v>
      </c>
      <c r="I23" s="10" t="s">
        <v>49</v>
      </c>
      <c r="J23" s="10" t="s">
        <v>50</v>
      </c>
      <c r="K23" s="10" t="s">
        <v>51</v>
      </c>
      <c r="L23" s="96" t="s">
        <v>52</v>
      </c>
      <c r="M23" s="96"/>
      <c r="N23" s="96"/>
      <c r="O23" s="96"/>
      <c r="P23" s="96"/>
      <c r="Q23" s="96"/>
    </row>
    <row r="24" spans="1:26" ht="28.9" thickTop="1" x14ac:dyDescent="0.35">
      <c r="A24" s="16" t="s">
        <v>7</v>
      </c>
      <c r="B24" s="17">
        <f t="shared" ref="B24:B39" si="26">IF(O3&gt;1,IF(R3&gt;1,IF(U3&gt;2,0,U3),R3),O3)</f>
        <v>0</v>
      </c>
      <c r="C24" s="10" t="str">
        <f t="shared" ref="C24:C39" si="27">IF(O3&gt;1,IF(R3&gt;1,IF(U3&gt;2,"N/A","95-gallon"),"65-gallon"),"35-gallon")</f>
        <v>N/A</v>
      </c>
      <c r="D24" s="17">
        <f t="shared" ref="D24:D39" si="28">IF(P3&gt;1,IF(S3&gt;1,IF(V3&gt;2,0,V3),S3),P3)</f>
        <v>0</v>
      </c>
      <c r="E24" s="17"/>
      <c r="F24" s="10" t="str">
        <f t="shared" ref="F24:F39" si="29">IF(P3&gt;1,IF(S3&gt;1,IF(V3&gt;2,"N/A","95-gallon cart"),"65-gallon cart"),"35-gallon cart")</f>
        <v>N/A</v>
      </c>
      <c r="G24" s="17">
        <f t="shared" ref="G24:G39" si="30">IF(Q3&gt;1,IF(T3&gt;1,IF(W3&gt;2,0,W3),T3),Q3)</f>
        <v>0</v>
      </c>
      <c r="H24" s="10" t="str">
        <f t="shared" ref="H24:H39" si="31">IF(Q3&gt;1,IF(T3&gt;1,IF(W3&gt;2,"N/A","95-gallon cart"),"65-gallon cart"),"35-gallon cart")</f>
        <v>N/A</v>
      </c>
      <c r="I24" s="10">
        <f t="shared" ref="I24:I39" si="32">IF(B24=0,X3,0)</f>
        <v>88</v>
      </c>
      <c r="J24" s="10">
        <f t="shared" ref="J24:J39" si="33">IF(D24=0,Y3,0)</f>
        <v>51</v>
      </c>
      <c r="K24" s="10">
        <f t="shared" ref="K24:K39" si="34">IF(G24=0,Z3,0)</f>
        <v>88</v>
      </c>
      <c r="L24" s="7" t="str">
        <f>IF(garbagecartsize="N/A","Yardage of bin or box",garbagecartsize)</f>
        <v>Yardage of bin or box</v>
      </c>
      <c r="M24" s="2">
        <f>IF(garbagebinsize&gt;0,garbagebinsize,garbagecartnumber)</f>
        <v>88</v>
      </c>
      <c r="N24" s="8" t="str">
        <f>IF(recyclingcartsize="N/A","Yardage of bin or box",recyclingcartsize)</f>
        <v>Yardage of bin or box</v>
      </c>
      <c r="O24" s="3">
        <f>IF(recyclingbinsize&gt;0,recyclingbinsize,recyclingcartnumber)</f>
        <v>51</v>
      </c>
      <c r="P24" s="9" t="str">
        <f>IF(organicscartsize="N/A","Yardage of bin or box",organicscartsize)</f>
        <v>Yardage of bin or box</v>
      </c>
      <c r="Q24" s="4">
        <f>IF(organicsbinsize&gt;0,organicsbinsize,organicscartnumber)</f>
        <v>88</v>
      </c>
      <c r="S24" s="5"/>
    </row>
    <row r="25" spans="1:26" ht="14.25" x14ac:dyDescent="0.35">
      <c r="A25" s="18" t="s">
        <v>9</v>
      </c>
      <c r="B25" s="17">
        <f t="shared" si="26"/>
        <v>0</v>
      </c>
      <c r="C25" s="10" t="str">
        <f t="shared" si="27"/>
        <v>N/A</v>
      </c>
      <c r="D25" s="17">
        <f t="shared" si="28"/>
        <v>0</v>
      </c>
      <c r="E25" s="17"/>
      <c r="F25" s="10" t="str">
        <f t="shared" si="29"/>
        <v>N/A</v>
      </c>
      <c r="G25" s="17">
        <f t="shared" si="30"/>
        <v>0</v>
      </c>
      <c r="H25" s="10" t="str">
        <f t="shared" si="31"/>
        <v>35-gallon cart</v>
      </c>
      <c r="I25" s="10">
        <f t="shared" si="32"/>
        <v>35</v>
      </c>
      <c r="J25" s="10">
        <f t="shared" si="33"/>
        <v>35</v>
      </c>
      <c r="K25" s="10">
        <f t="shared" si="34"/>
        <v>0</v>
      </c>
      <c r="L25" s="7" t="str">
        <f>IF(C25="N/A","Yardage of bin or box",C25)</f>
        <v>Yardage of bin or box</v>
      </c>
      <c r="M25" s="2">
        <f>IF(I25&gt;0,I25,B25)</f>
        <v>35</v>
      </c>
      <c r="N25" s="8" t="str">
        <f>IF(F25="N/A","Yardage of bin or box",F25)</f>
        <v>Yardage of bin or box</v>
      </c>
      <c r="O25" s="3">
        <f>IF(J25&gt;0,J25,D25)</f>
        <v>35</v>
      </c>
      <c r="P25" s="9" t="str">
        <f>IF(H25="N/A","Yardage of bin or box",H25)</f>
        <v>35-gallon cart</v>
      </c>
      <c r="Q25" s="4">
        <f>IF(K25&gt;0,K25,G25)</f>
        <v>0</v>
      </c>
    </row>
    <row r="26" spans="1:26" ht="14.25" x14ac:dyDescent="0.35">
      <c r="A26" s="19" t="s">
        <v>6</v>
      </c>
      <c r="B26" s="17">
        <f t="shared" si="26"/>
        <v>0</v>
      </c>
      <c r="C26" s="10" t="str">
        <f t="shared" si="27"/>
        <v>N/A</v>
      </c>
      <c r="D26" s="17">
        <f t="shared" si="28"/>
        <v>0</v>
      </c>
      <c r="E26" s="17"/>
      <c r="F26" s="10" t="str">
        <f t="shared" si="29"/>
        <v>N/A</v>
      </c>
      <c r="G26" s="17">
        <f t="shared" si="30"/>
        <v>0</v>
      </c>
      <c r="H26" s="10" t="str">
        <f t="shared" si="31"/>
        <v>N/A</v>
      </c>
      <c r="I26" s="10">
        <f t="shared" si="32"/>
        <v>41</v>
      </c>
      <c r="J26" s="10">
        <f t="shared" si="33"/>
        <v>41</v>
      </c>
      <c r="K26" s="10">
        <f t="shared" si="34"/>
        <v>3</v>
      </c>
      <c r="L26" s="7" t="str">
        <f t="shared" ref="L26:L38" si="35">IF(C26="N/A","Yardage of bin or box",C26)</f>
        <v>Yardage of bin or box</v>
      </c>
      <c r="M26" s="2">
        <f t="shared" ref="M26:M38" si="36">IF(I26&gt;0,I26,B26)</f>
        <v>41</v>
      </c>
      <c r="N26" s="8" t="str">
        <f t="shared" ref="N26:N38" si="37">IF(F26="N/A","Yardage of bin or box",F26)</f>
        <v>Yardage of bin or box</v>
      </c>
      <c r="O26" s="3">
        <f t="shared" ref="O26:O38" si="38">IF(J26&gt;0,J26,D26)</f>
        <v>41</v>
      </c>
      <c r="P26" s="9" t="str">
        <f t="shared" ref="P26:P38" si="39">IF(H26="N/A","Yardage of bin or box",H26)</f>
        <v>Yardage of bin or box</v>
      </c>
      <c r="Q26" s="4">
        <f t="shared" ref="Q26:Q38" si="40">IF(K26&gt;0,K26,G26)</f>
        <v>3</v>
      </c>
    </row>
    <row r="27" spans="1:26" ht="28.5" x14ac:dyDescent="0.35">
      <c r="A27" s="18" t="s">
        <v>11</v>
      </c>
      <c r="B27" s="17">
        <f t="shared" si="26"/>
        <v>0</v>
      </c>
      <c r="C27" s="10" t="str">
        <f t="shared" si="27"/>
        <v>N/A</v>
      </c>
      <c r="D27" s="17">
        <f t="shared" si="28"/>
        <v>0</v>
      </c>
      <c r="E27" s="17"/>
      <c r="F27" s="10" t="str">
        <f t="shared" si="29"/>
        <v>N/A</v>
      </c>
      <c r="G27" s="17">
        <f t="shared" si="30"/>
        <v>0</v>
      </c>
      <c r="H27" s="10" t="str">
        <f t="shared" si="31"/>
        <v>N/A</v>
      </c>
      <c r="I27" s="10">
        <f t="shared" si="32"/>
        <v>310</v>
      </c>
      <c r="J27" s="10">
        <f t="shared" si="33"/>
        <v>212</v>
      </c>
      <c r="K27" s="10">
        <f t="shared" si="34"/>
        <v>4</v>
      </c>
      <c r="L27" s="7" t="str">
        <f t="shared" si="35"/>
        <v>Yardage of bin or box</v>
      </c>
      <c r="M27" s="2">
        <f t="shared" si="36"/>
        <v>310</v>
      </c>
      <c r="N27" s="8" t="str">
        <f t="shared" si="37"/>
        <v>Yardage of bin or box</v>
      </c>
      <c r="O27" s="3">
        <f t="shared" si="38"/>
        <v>212</v>
      </c>
      <c r="P27" s="9" t="str">
        <f t="shared" si="39"/>
        <v>Yardage of bin or box</v>
      </c>
      <c r="Q27" s="4">
        <f t="shared" si="40"/>
        <v>4</v>
      </c>
    </row>
    <row r="28" spans="1:26" ht="28.5" x14ac:dyDescent="0.35">
      <c r="A28" s="19" t="s">
        <v>16</v>
      </c>
      <c r="B28" s="17">
        <f t="shared" si="26"/>
        <v>0</v>
      </c>
      <c r="C28" s="10" t="str">
        <f t="shared" si="27"/>
        <v>N/A</v>
      </c>
      <c r="D28" s="17">
        <f t="shared" si="28"/>
        <v>0</v>
      </c>
      <c r="E28" s="17"/>
      <c r="F28" s="10" t="str">
        <f t="shared" si="29"/>
        <v>N/A</v>
      </c>
      <c r="G28" s="17">
        <f t="shared" si="30"/>
        <v>2</v>
      </c>
      <c r="H28" s="10" t="str">
        <f t="shared" si="31"/>
        <v>95-gallon cart</v>
      </c>
      <c r="I28" s="10">
        <f t="shared" si="32"/>
        <v>157</v>
      </c>
      <c r="J28" s="10">
        <f t="shared" si="33"/>
        <v>100</v>
      </c>
      <c r="K28" s="10">
        <f t="shared" si="34"/>
        <v>0</v>
      </c>
      <c r="L28" s="7" t="str">
        <f t="shared" si="35"/>
        <v>Yardage of bin or box</v>
      </c>
      <c r="M28" s="2">
        <f t="shared" si="36"/>
        <v>157</v>
      </c>
      <c r="N28" s="8" t="str">
        <f t="shared" si="37"/>
        <v>Yardage of bin or box</v>
      </c>
      <c r="O28" s="3">
        <f t="shared" si="38"/>
        <v>100</v>
      </c>
      <c r="P28" s="9" t="str">
        <f t="shared" si="39"/>
        <v>95-gallon cart</v>
      </c>
      <c r="Q28" s="4">
        <f t="shared" si="40"/>
        <v>2</v>
      </c>
    </row>
    <row r="29" spans="1:26" ht="14.25" x14ac:dyDescent="0.35">
      <c r="A29" s="18" t="s">
        <v>10</v>
      </c>
      <c r="B29" s="17">
        <f t="shared" si="26"/>
        <v>0</v>
      </c>
      <c r="C29" s="10" t="str">
        <f t="shared" si="27"/>
        <v>N/A</v>
      </c>
      <c r="D29" s="17">
        <f t="shared" si="28"/>
        <v>0</v>
      </c>
      <c r="E29" s="17"/>
      <c r="F29" s="10" t="str">
        <f t="shared" si="29"/>
        <v>N/A</v>
      </c>
      <c r="G29" s="17">
        <f t="shared" si="30"/>
        <v>0</v>
      </c>
      <c r="H29" s="10" t="str">
        <f t="shared" si="31"/>
        <v>N/A</v>
      </c>
      <c r="I29" s="10">
        <f t="shared" si="32"/>
        <v>62</v>
      </c>
      <c r="J29" s="10">
        <f t="shared" si="33"/>
        <v>62</v>
      </c>
      <c r="K29" s="10">
        <f t="shared" si="34"/>
        <v>1</v>
      </c>
      <c r="L29" s="7" t="str">
        <f t="shared" si="35"/>
        <v>Yardage of bin or box</v>
      </c>
      <c r="M29" s="2">
        <f t="shared" si="36"/>
        <v>62</v>
      </c>
      <c r="N29" s="8" t="str">
        <f t="shared" si="37"/>
        <v>Yardage of bin or box</v>
      </c>
      <c r="O29" s="3">
        <f t="shared" si="38"/>
        <v>62</v>
      </c>
      <c r="P29" s="9" t="str">
        <f t="shared" si="39"/>
        <v>Yardage of bin or box</v>
      </c>
      <c r="Q29" s="4">
        <f t="shared" si="40"/>
        <v>1</v>
      </c>
    </row>
    <row r="30" spans="1:26" ht="14.25" x14ac:dyDescent="0.35">
      <c r="A30" s="19" t="s">
        <v>5</v>
      </c>
      <c r="B30" s="17">
        <f t="shared" si="26"/>
        <v>0</v>
      </c>
      <c r="C30" s="10" t="str">
        <f t="shared" si="27"/>
        <v>N/A</v>
      </c>
      <c r="D30" s="17">
        <f t="shared" si="28"/>
        <v>0</v>
      </c>
      <c r="E30" s="17"/>
      <c r="F30" s="10" t="str">
        <f t="shared" si="29"/>
        <v>N/A</v>
      </c>
      <c r="G30" s="17">
        <f t="shared" si="30"/>
        <v>0</v>
      </c>
      <c r="H30" s="10" t="str">
        <f t="shared" si="31"/>
        <v>N/A</v>
      </c>
      <c r="I30" s="10">
        <f t="shared" si="32"/>
        <v>47</v>
      </c>
      <c r="J30" s="10">
        <f t="shared" si="33"/>
        <v>47</v>
      </c>
      <c r="K30" s="10">
        <f t="shared" si="34"/>
        <v>26</v>
      </c>
      <c r="L30" s="7" t="str">
        <f t="shared" si="35"/>
        <v>Yardage of bin or box</v>
      </c>
      <c r="M30" s="2">
        <f t="shared" si="36"/>
        <v>47</v>
      </c>
      <c r="N30" s="8" t="str">
        <f t="shared" si="37"/>
        <v>Yardage of bin or box</v>
      </c>
      <c r="O30" s="3">
        <f t="shared" si="38"/>
        <v>47</v>
      </c>
      <c r="P30" s="9" t="str">
        <f t="shared" si="39"/>
        <v>Yardage of bin or box</v>
      </c>
      <c r="Q30" s="4">
        <f t="shared" si="40"/>
        <v>26</v>
      </c>
    </row>
    <row r="31" spans="1:26" ht="14.25" x14ac:dyDescent="0.35">
      <c r="A31" s="18" t="s">
        <v>12</v>
      </c>
      <c r="B31" s="17">
        <f t="shared" si="26"/>
        <v>0</v>
      </c>
      <c r="C31" s="10" t="str">
        <f t="shared" si="27"/>
        <v>N/A</v>
      </c>
      <c r="D31" s="17">
        <f t="shared" si="28"/>
        <v>0</v>
      </c>
      <c r="E31" s="17"/>
      <c r="F31" s="10" t="str">
        <f t="shared" si="29"/>
        <v>N/A</v>
      </c>
      <c r="G31" s="17">
        <f t="shared" si="30"/>
        <v>2</v>
      </c>
      <c r="H31" s="10" t="str">
        <f t="shared" si="31"/>
        <v>95-gallon cart</v>
      </c>
      <c r="I31" s="10">
        <f t="shared" si="32"/>
        <v>99</v>
      </c>
      <c r="J31" s="10">
        <f t="shared" si="33"/>
        <v>99</v>
      </c>
      <c r="K31" s="10">
        <f t="shared" si="34"/>
        <v>0</v>
      </c>
      <c r="L31" s="7" t="str">
        <f t="shared" si="35"/>
        <v>Yardage of bin or box</v>
      </c>
      <c r="M31" s="2">
        <f t="shared" si="36"/>
        <v>99</v>
      </c>
      <c r="N31" s="8" t="str">
        <f t="shared" si="37"/>
        <v>Yardage of bin or box</v>
      </c>
      <c r="O31" s="3">
        <f t="shared" si="38"/>
        <v>99</v>
      </c>
      <c r="P31" s="9" t="str">
        <f t="shared" si="39"/>
        <v>95-gallon cart</v>
      </c>
      <c r="Q31" s="4">
        <f t="shared" si="40"/>
        <v>2</v>
      </c>
    </row>
    <row r="32" spans="1:26" ht="14.25" x14ac:dyDescent="0.35">
      <c r="A32" s="19" t="s">
        <v>56</v>
      </c>
      <c r="B32" s="17">
        <f t="shared" si="26"/>
        <v>0</v>
      </c>
      <c r="C32" s="10" t="str">
        <f t="shared" si="27"/>
        <v>N/A</v>
      </c>
      <c r="D32" s="17">
        <f t="shared" si="28"/>
        <v>0</v>
      </c>
      <c r="E32" s="17"/>
      <c r="F32" s="10" t="str">
        <f t="shared" si="29"/>
        <v>N/A</v>
      </c>
      <c r="G32" s="17">
        <f t="shared" si="30"/>
        <v>0</v>
      </c>
      <c r="H32" s="10" t="str">
        <f t="shared" si="31"/>
        <v>N/A</v>
      </c>
      <c r="I32" s="10">
        <f t="shared" si="32"/>
        <v>31</v>
      </c>
      <c r="J32" s="10">
        <f t="shared" si="33"/>
        <v>31</v>
      </c>
      <c r="K32" s="10">
        <f t="shared" si="34"/>
        <v>2</v>
      </c>
      <c r="L32" s="7" t="str">
        <f t="shared" si="35"/>
        <v>Yardage of bin or box</v>
      </c>
      <c r="M32" s="2">
        <f t="shared" si="36"/>
        <v>31</v>
      </c>
      <c r="N32" s="8" t="str">
        <f t="shared" si="37"/>
        <v>Yardage of bin or box</v>
      </c>
      <c r="O32" s="3">
        <f t="shared" si="38"/>
        <v>31</v>
      </c>
      <c r="P32" s="9" t="str">
        <f t="shared" si="39"/>
        <v>Yardage of bin or box</v>
      </c>
      <c r="Q32" s="4">
        <f t="shared" si="40"/>
        <v>2</v>
      </c>
    </row>
    <row r="33" spans="1:17" ht="28.5" x14ac:dyDescent="0.35">
      <c r="A33" s="18" t="s">
        <v>1</v>
      </c>
      <c r="B33" s="17">
        <f t="shared" si="26"/>
        <v>0</v>
      </c>
      <c r="C33" s="10" t="str">
        <f t="shared" si="27"/>
        <v>N/A</v>
      </c>
      <c r="D33" s="17">
        <f t="shared" si="28"/>
        <v>0</v>
      </c>
      <c r="E33" s="17"/>
      <c r="F33" s="10" t="str">
        <f t="shared" si="29"/>
        <v>N/A</v>
      </c>
      <c r="G33" s="17">
        <f t="shared" si="30"/>
        <v>0</v>
      </c>
      <c r="H33" s="10" t="str">
        <f t="shared" si="31"/>
        <v>N/A</v>
      </c>
      <c r="I33" s="10">
        <f t="shared" si="32"/>
        <v>85</v>
      </c>
      <c r="J33" s="10">
        <f t="shared" si="33"/>
        <v>98</v>
      </c>
      <c r="K33" s="10">
        <f t="shared" si="34"/>
        <v>78</v>
      </c>
      <c r="L33" s="7" t="str">
        <f t="shared" si="35"/>
        <v>Yardage of bin or box</v>
      </c>
      <c r="M33" s="2">
        <f t="shared" si="36"/>
        <v>85</v>
      </c>
      <c r="N33" s="8" t="str">
        <f t="shared" si="37"/>
        <v>Yardage of bin or box</v>
      </c>
      <c r="O33" s="3">
        <f t="shared" si="38"/>
        <v>98</v>
      </c>
      <c r="P33" s="9" t="str">
        <f>IF(H33="N/A","Yardage of bin or box",H33)</f>
        <v>Yardage of bin or box</v>
      </c>
      <c r="Q33" s="4">
        <f>IF(K33&gt;0,K33,G33)</f>
        <v>78</v>
      </c>
    </row>
    <row r="34" spans="1:17" ht="14.25" x14ac:dyDescent="0.35">
      <c r="A34" s="48" t="s">
        <v>77</v>
      </c>
      <c r="B34" s="17">
        <f t="shared" si="26"/>
        <v>0</v>
      </c>
      <c r="C34" s="10" t="str">
        <f t="shared" si="27"/>
        <v>N/A</v>
      </c>
      <c r="D34" s="17">
        <f t="shared" si="28"/>
        <v>0</v>
      </c>
      <c r="E34" s="17"/>
      <c r="F34" s="10" t="str">
        <f t="shared" si="29"/>
        <v>N/A</v>
      </c>
      <c r="G34" s="17">
        <f t="shared" si="30"/>
        <v>0</v>
      </c>
      <c r="H34" s="10" t="str">
        <f t="shared" si="31"/>
        <v>35-gallon cart</v>
      </c>
      <c r="I34" s="10">
        <f t="shared" si="32"/>
        <v>148</v>
      </c>
      <c r="J34" s="10">
        <f t="shared" si="33"/>
        <v>148</v>
      </c>
      <c r="K34" s="10">
        <f t="shared" si="34"/>
        <v>0</v>
      </c>
      <c r="L34" s="7" t="str">
        <f t="shared" si="35"/>
        <v>Yardage of bin or box</v>
      </c>
      <c r="M34" s="2">
        <f t="shared" si="36"/>
        <v>148</v>
      </c>
      <c r="N34" s="8" t="str">
        <f t="shared" si="37"/>
        <v>Yardage of bin or box</v>
      </c>
      <c r="O34" s="3">
        <f t="shared" si="38"/>
        <v>148</v>
      </c>
      <c r="P34" s="9" t="str">
        <f t="shared" si="39"/>
        <v>35-gallon cart</v>
      </c>
      <c r="Q34" s="4">
        <f t="shared" si="40"/>
        <v>0</v>
      </c>
    </row>
    <row r="35" spans="1:17" ht="14.25" x14ac:dyDescent="0.35">
      <c r="A35" s="48" t="s">
        <v>78</v>
      </c>
      <c r="B35" s="17">
        <f t="shared" si="26"/>
        <v>0</v>
      </c>
      <c r="C35" s="10" t="str">
        <f t="shared" si="27"/>
        <v>N/A</v>
      </c>
      <c r="D35" s="17">
        <f t="shared" si="28"/>
        <v>0</v>
      </c>
      <c r="E35" s="17"/>
      <c r="F35" s="10" t="str">
        <f t="shared" si="29"/>
        <v>N/A</v>
      </c>
      <c r="G35" s="17">
        <f t="shared" si="30"/>
        <v>0</v>
      </c>
      <c r="H35" s="10" t="str">
        <f t="shared" si="31"/>
        <v>N/A</v>
      </c>
      <c r="I35" s="10">
        <f t="shared" si="32"/>
        <v>148</v>
      </c>
      <c r="J35" s="10">
        <f t="shared" si="33"/>
        <v>148</v>
      </c>
      <c r="K35" s="10">
        <f t="shared" si="34"/>
        <v>3</v>
      </c>
      <c r="L35" s="7" t="str">
        <f t="shared" ref="L35" si="41">IF(C35="N/A","Yardage of bin or box",C35)</f>
        <v>Yardage of bin or box</v>
      </c>
      <c r="M35" s="2">
        <f t="shared" ref="M35" si="42">IF(I35&gt;0,I35,B35)</f>
        <v>148</v>
      </c>
      <c r="N35" s="8" t="str">
        <f t="shared" ref="N35" si="43">IF(F35="N/A","Yardage of bin or box",F35)</f>
        <v>Yardage of bin or box</v>
      </c>
      <c r="O35" s="3">
        <f t="shared" ref="O35" si="44">IF(J35&gt;0,J35,D35)</f>
        <v>148</v>
      </c>
      <c r="P35" s="9" t="str">
        <f t="shared" ref="P35" si="45">IF(H35="N/A","Yardage of bin or box",H35)</f>
        <v>Yardage of bin or box</v>
      </c>
      <c r="Q35" s="4">
        <f t="shared" ref="Q35" si="46">IF(K35&gt;0,K35,G35)</f>
        <v>3</v>
      </c>
    </row>
    <row r="36" spans="1:17" ht="14.25" x14ac:dyDescent="0.35">
      <c r="A36" s="18" t="s">
        <v>2</v>
      </c>
      <c r="B36" s="17">
        <f t="shared" si="26"/>
        <v>0</v>
      </c>
      <c r="C36" s="10" t="str">
        <f t="shared" si="27"/>
        <v>N/A</v>
      </c>
      <c r="D36" s="17">
        <f t="shared" si="28"/>
        <v>0</v>
      </c>
      <c r="E36" s="17"/>
      <c r="F36" s="10" t="str">
        <f t="shared" si="29"/>
        <v>N/A</v>
      </c>
      <c r="G36" s="17">
        <f t="shared" si="30"/>
        <v>0</v>
      </c>
      <c r="H36" s="10" t="str">
        <f t="shared" si="31"/>
        <v>N/A</v>
      </c>
      <c r="I36" s="10">
        <f t="shared" si="32"/>
        <v>46</v>
      </c>
      <c r="J36" s="10">
        <f t="shared" si="33"/>
        <v>46</v>
      </c>
      <c r="K36" s="10">
        <f t="shared" si="34"/>
        <v>55</v>
      </c>
      <c r="L36" s="7" t="str">
        <f t="shared" si="35"/>
        <v>Yardage of bin or box</v>
      </c>
      <c r="M36" s="2">
        <f t="shared" si="36"/>
        <v>46</v>
      </c>
      <c r="N36" s="8" t="str">
        <f t="shared" si="37"/>
        <v>Yardage of bin or box</v>
      </c>
      <c r="O36" s="3">
        <f t="shared" si="38"/>
        <v>46</v>
      </c>
      <c r="P36" s="9" t="str">
        <f t="shared" si="39"/>
        <v>Yardage of bin or box</v>
      </c>
      <c r="Q36" s="4">
        <f t="shared" si="40"/>
        <v>55</v>
      </c>
    </row>
    <row r="37" spans="1:17" ht="26.25" x14ac:dyDescent="0.35">
      <c r="A37" s="19" t="s">
        <v>4</v>
      </c>
      <c r="B37" s="17">
        <f t="shared" si="26"/>
        <v>0</v>
      </c>
      <c r="C37" s="10" t="str">
        <f t="shared" si="27"/>
        <v>N/A</v>
      </c>
      <c r="D37" s="17">
        <f t="shared" si="28"/>
        <v>0</v>
      </c>
      <c r="E37" s="17"/>
      <c r="F37" s="10" t="str">
        <f t="shared" si="29"/>
        <v>N/A</v>
      </c>
      <c r="G37" s="17">
        <f t="shared" si="30"/>
        <v>0</v>
      </c>
      <c r="H37" s="10" t="str">
        <f t="shared" si="31"/>
        <v>N/A</v>
      </c>
      <c r="I37" s="10">
        <f t="shared" si="32"/>
        <v>64</v>
      </c>
      <c r="J37" s="10">
        <f t="shared" si="33"/>
        <v>64</v>
      </c>
      <c r="K37" s="10">
        <f t="shared" si="34"/>
        <v>151</v>
      </c>
      <c r="L37" s="7" t="str">
        <f t="shared" si="35"/>
        <v>Yardage of bin or box</v>
      </c>
      <c r="M37" s="2">
        <f t="shared" si="36"/>
        <v>64</v>
      </c>
      <c r="N37" s="8" t="str">
        <f t="shared" si="37"/>
        <v>Yardage of bin or box</v>
      </c>
      <c r="O37" s="3">
        <f t="shared" si="38"/>
        <v>64</v>
      </c>
      <c r="P37" s="9" t="str">
        <f t="shared" si="39"/>
        <v>Yardage of bin or box</v>
      </c>
      <c r="Q37" s="4">
        <f>IF(K37&gt;0,K37,G37)</f>
        <v>151</v>
      </c>
    </row>
    <row r="38" spans="1:17" ht="14.25" x14ac:dyDescent="0.35">
      <c r="A38" s="18" t="s">
        <v>3</v>
      </c>
      <c r="B38" s="17">
        <f t="shared" si="26"/>
        <v>0</v>
      </c>
      <c r="C38" s="10" t="str">
        <f t="shared" si="27"/>
        <v>N/A</v>
      </c>
      <c r="D38" s="17">
        <f t="shared" si="28"/>
        <v>0</v>
      </c>
      <c r="E38" s="17"/>
      <c r="F38" s="10" t="str">
        <f t="shared" si="29"/>
        <v>N/A</v>
      </c>
      <c r="G38" s="17">
        <f t="shared" si="30"/>
        <v>0</v>
      </c>
      <c r="H38" s="10" t="str">
        <f t="shared" si="31"/>
        <v>35-gallon cart</v>
      </c>
      <c r="I38" s="10">
        <f t="shared" si="32"/>
        <v>132</v>
      </c>
      <c r="J38" s="10">
        <f t="shared" si="33"/>
        <v>132</v>
      </c>
      <c r="K38" s="10">
        <f t="shared" si="34"/>
        <v>0</v>
      </c>
      <c r="L38" s="7" t="str">
        <f t="shared" si="35"/>
        <v>Yardage of bin or box</v>
      </c>
      <c r="M38" s="2">
        <f t="shared" si="36"/>
        <v>132</v>
      </c>
      <c r="N38" s="8" t="str">
        <f t="shared" si="37"/>
        <v>Yardage of bin or box</v>
      </c>
      <c r="O38" s="3">
        <f t="shared" si="38"/>
        <v>132</v>
      </c>
      <c r="P38" s="9" t="str">
        <f t="shared" si="39"/>
        <v>35-gallon cart</v>
      </c>
      <c r="Q38" s="4">
        <f t="shared" si="40"/>
        <v>0</v>
      </c>
    </row>
    <row r="39" spans="1:17" ht="14.25" x14ac:dyDescent="0.35">
      <c r="A39" s="10" t="s">
        <v>8</v>
      </c>
      <c r="B39" s="17">
        <f t="shared" si="26"/>
        <v>0</v>
      </c>
      <c r="C39" s="10" t="str">
        <f t="shared" si="27"/>
        <v>N/A</v>
      </c>
      <c r="D39" s="17">
        <f t="shared" si="28"/>
        <v>0</v>
      </c>
      <c r="E39" s="17"/>
      <c r="F39" s="10" t="str">
        <f t="shared" si="29"/>
        <v>N/A</v>
      </c>
      <c r="G39" s="17">
        <f t="shared" si="30"/>
        <v>0</v>
      </c>
      <c r="H39" s="10" t="str">
        <f t="shared" si="31"/>
        <v>N/A</v>
      </c>
      <c r="I39" s="10">
        <f t="shared" si="32"/>
        <v>34</v>
      </c>
      <c r="J39" s="10">
        <f t="shared" si="33"/>
        <v>34</v>
      </c>
      <c r="K39" s="10">
        <f t="shared" si="34"/>
        <v>3</v>
      </c>
      <c r="L39" s="7" t="str">
        <f t="shared" ref="L39" si="47">IF(C39="N/A","Yardage of bin or box",C39)</f>
        <v>Yardage of bin or box</v>
      </c>
      <c r="M39" s="2">
        <f t="shared" ref="M39" si="48">IF(I39&gt;0,I39,B39)</f>
        <v>34</v>
      </c>
      <c r="N39" s="8" t="str">
        <f t="shared" ref="N39" si="49">IF(F39="N/A","Yardage of bin or box",F39)</f>
        <v>Yardage of bin or box</v>
      </c>
      <c r="O39" s="3">
        <f t="shared" ref="O39" si="50">IF(J39&gt;0,J39,D39)</f>
        <v>34</v>
      </c>
      <c r="P39" s="9" t="str">
        <f t="shared" ref="P39" si="51">IF(H39="N/A","Yardage of bin or box",H39)</f>
        <v>Yardage of bin or box</v>
      </c>
      <c r="Q39" s="4">
        <f t="shared" ref="Q39" si="52">IF(K39&gt;0,K39,G39)</f>
        <v>3</v>
      </c>
    </row>
    <row r="41" spans="1:17" x14ac:dyDescent="0.35">
      <c r="A41" s="64" t="s">
        <v>64</v>
      </c>
    </row>
    <row r="42" spans="1:17" ht="14.25" customHeight="1" x14ac:dyDescent="0.4">
      <c r="B42" s="100" t="s">
        <v>65</v>
      </c>
      <c r="C42" s="100"/>
      <c r="D42" s="100"/>
      <c r="E42" s="100"/>
      <c r="F42" s="100"/>
      <c r="G42" s="100"/>
      <c r="H42" s="100"/>
    </row>
    <row r="43" spans="1:17" ht="52.5" x14ac:dyDescent="0.4">
      <c r="A43" s="61" t="s">
        <v>0</v>
      </c>
      <c r="B43" s="65" t="s">
        <v>66</v>
      </c>
      <c r="C43" s="65" t="s">
        <v>67</v>
      </c>
      <c r="D43" s="65" t="s">
        <v>68</v>
      </c>
      <c r="E43" s="69"/>
      <c r="F43" s="101" t="s">
        <v>72</v>
      </c>
      <c r="G43" s="101"/>
      <c r="H43" s="101"/>
    </row>
    <row r="44" spans="1:17" ht="28.15" customHeight="1" x14ac:dyDescent="0.4">
      <c r="A44" s="62" t="s">
        <v>7</v>
      </c>
      <c r="B44" s="60">
        <f>F3/52*27/0.134</f>
        <v>35.280568312284728</v>
      </c>
      <c r="C44" s="66">
        <f t="shared" ref="C44:D44" si="53">G3/52*27/0.134</f>
        <v>20.265499425947187</v>
      </c>
      <c r="D44" s="66">
        <f t="shared" si="53"/>
        <v>35.280568312284728</v>
      </c>
      <c r="E44" s="68"/>
      <c r="F44" s="95" t="s">
        <v>73</v>
      </c>
      <c r="G44" s="95"/>
      <c r="H44" s="95"/>
    </row>
    <row r="45" spans="1:17" ht="40.9" customHeight="1" x14ac:dyDescent="0.4">
      <c r="A45" s="63" t="s">
        <v>9</v>
      </c>
      <c r="B45" s="66">
        <f t="shared" ref="B45:B53" si="54">F4/52*27/0.134</f>
        <v>28.015212399540761</v>
      </c>
      <c r="C45" s="66">
        <f t="shared" ref="C45:C54" si="55">G4/52*27/0.134</f>
        <v>28.015212399540761</v>
      </c>
      <c r="D45" s="66">
        <f t="shared" ref="D45:D54" si="56">H4/52*27/0.134</f>
        <v>0</v>
      </c>
      <c r="E45" s="68"/>
      <c r="F45" s="95" t="s">
        <v>79</v>
      </c>
      <c r="G45" s="95"/>
      <c r="H45" s="95"/>
    </row>
    <row r="46" spans="1:17" x14ac:dyDescent="0.4">
      <c r="A46" s="62" t="s">
        <v>6</v>
      </c>
      <c r="B46" s="66">
        <f>F5/52*27/0.134</f>
        <v>16.158151549942591</v>
      </c>
      <c r="C46" s="66">
        <f t="shared" si="55"/>
        <v>16.158151549942591</v>
      </c>
      <c r="D46" s="66">
        <f t="shared" si="56"/>
        <v>1.1624569460390353</v>
      </c>
      <c r="E46" s="68"/>
      <c r="F46" s="95"/>
      <c r="G46" s="95"/>
      <c r="H46" s="95"/>
    </row>
    <row r="47" spans="1:17" ht="26.25" customHeight="1" x14ac:dyDescent="0.4">
      <c r="A47" s="63" t="s">
        <v>11</v>
      </c>
      <c r="B47" s="66">
        <f t="shared" si="54"/>
        <v>124.63088404133181</v>
      </c>
      <c r="C47" s="66">
        <f t="shared" si="55"/>
        <v>85.053099885189425</v>
      </c>
      <c r="D47" s="66">
        <f t="shared" si="56"/>
        <v>1.4724454649827783</v>
      </c>
      <c r="E47" s="68"/>
      <c r="F47" s="95" t="s">
        <v>74</v>
      </c>
      <c r="G47" s="95"/>
      <c r="H47" s="95"/>
    </row>
    <row r="48" spans="1:17" ht="27" customHeight="1" x14ac:dyDescent="0.4">
      <c r="A48" s="62" t="s">
        <v>16</v>
      </c>
      <c r="B48" s="66">
        <f t="shared" si="54"/>
        <v>63.043915040183684</v>
      </c>
      <c r="C48" s="66">
        <f t="shared" si="55"/>
        <v>40.040183696900115</v>
      </c>
      <c r="D48" s="66">
        <f t="shared" si="56"/>
        <v>0.36165327210103326</v>
      </c>
      <c r="E48" s="68"/>
      <c r="F48" s="95" t="s">
        <v>73</v>
      </c>
      <c r="G48" s="95"/>
      <c r="H48" s="95"/>
    </row>
    <row r="49" spans="1:8" x14ac:dyDescent="0.4">
      <c r="A49" s="63" t="s">
        <v>10</v>
      </c>
      <c r="B49" s="66">
        <f t="shared" si="54"/>
        <v>24.857204362801376</v>
      </c>
      <c r="C49" s="66">
        <f t="shared" si="55"/>
        <v>24.857204362801376</v>
      </c>
      <c r="D49" s="66">
        <f t="shared" si="56"/>
        <v>0.38748564867967855</v>
      </c>
      <c r="E49" s="68"/>
      <c r="F49" s="95"/>
      <c r="G49" s="95"/>
      <c r="H49" s="95"/>
    </row>
    <row r="50" spans="1:8" x14ac:dyDescent="0.4">
      <c r="A50" s="74" t="s">
        <v>5</v>
      </c>
      <c r="B50" s="73">
        <f t="shared" si="54"/>
        <v>18.607560066167594</v>
      </c>
      <c r="C50" s="73">
        <f t="shared" si="55"/>
        <v>18.607560066167594</v>
      </c>
      <c r="D50" s="73">
        <f t="shared" si="56"/>
        <v>10.435481829681699</v>
      </c>
      <c r="E50" s="68"/>
      <c r="F50" s="95"/>
      <c r="G50" s="95"/>
      <c r="H50" s="95"/>
    </row>
    <row r="51" spans="1:8" x14ac:dyDescent="0.4">
      <c r="A51" s="63" t="s">
        <v>12</v>
      </c>
      <c r="B51" s="66">
        <f t="shared" si="54"/>
        <v>39.8916475315729</v>
      </c>
      <c r="C51" s="66">
        <f t="shared" si="55"/>
        <v>39.8916475315729</v>
      </c>
      <c r="D51" s="66">
        <f t="shared" si="56"/>
        <v>0.3099885189437428</v>
      </c>
      <c r="E51" s="68"/>
      <c r="F51" s="95"/>
      <c r="G51" s="95"/>
      <c r="H51" s="95"/>
    </row>
    <row r="52" spans="1:8" x14ac:dyDescent="0.4">
      <c r="A52" s="62" t="s">
        <v>56</v>
      </c>
      <c r="B52" s="66">
        <f t="shared" si="54"/>
        <v>12.418915040183697</v>
      </c>
      <c r="C52" s="66">
        <f t="shared" si="55"/>
        <v>12.418915040183697</v>
      </c>
      <c r="D52" s="66">
        <f t="shared" si="56"/>
        <v>0.61997703788748559</v>
      </c>
      <c r="E52" s="68"/>
      <c r="F52" s="95"/>
      <c r="G52" s="95"/>
      <c r="H52" s="95"/>
    </row>
    <row r="53" spans="1:8" ht="28.15" customHeight="1" x14ac:dyDescent="0.4">
      <c r="A53" s="62" t="s">
        <v>1</v>
      </c>
      <c r="B53" s="66">
        <f t="shared" si="54"/>
        <v>34.236509758897817</v>
      </c>
      <c r="C53" s="66">
        <f t="shared" si="55"/>
        <v>39.232921928817447</v>
      </c>
      <c r="D53" s="66">
        <f t="shared" si="56"/>
        <v>31.231343283582085</v>
      </c>
      <c r="E53" s="68"/>
      <c r="F53" s="95" t="s">
        <v>75</v>
      </c>
      <c r="G53" s="95"/>
      <c r="H53" s="95"/>
    </row>
    <row r="54" spans="1:8" x14ac:dyDescent="0.4">
      <c r="A54" s="63" t="str">
        <f>A13</f>
        <v>Retail Trade - General</v>
      </c>
      <c r="B54" s="66">
        <f>F13/52*27/0.134</f>
        <v>59.614667049368535</v>
      </c>
      <c r="C54" s="66">
        <f t="shared" si="55"/>
        <v>59.614667049368535</v>
      </c>
      <c r="D54" s="66">
        <f t="shared" si="56"/>
        <v>0</v>
      </c>
      <c r="E54" s="68"/>
      <c r="F54" s="95"/>
      <c r="G54" s="95"/>
      <c r="H54" s="95"/>
    </row>
    <row r="55" spans="1:8" ht="40.15" customHeight="1" x14ac:dyDescent="0.4">
      <c r="A55" s="63" t="str">
        <f>A14</f>
        <v>Retail Trade - General (with some food sales)</v>
      </c>
      <c r="B55" s="73">
        <f>F14/52*27/0.134</f>
        <v>59.614667049368535</v>
      </c>
      <c r="C55" s="73">
        <f t="shared" ref="C55" si="57">G14/52*27/0.134</f>
        <v>59.614667049368535</v>
      </c>
      <c r="D55" s="73">
        <f t="shared" ref="D55" si="58">H14/52*27/0.134</f>
        <v>1.1624569460390353</v>
      </c>
      <c r="E55" s="68"/>
      <c r="F55" s="95" t="s">
        <v>80</v>
      </c>
      <c r="G55" s="95"/>
      <c r="H55" s="95"/>
    </row>
    <row r="56" spans="1:8" ht="39.4" customHeight="1" x14ac:dyDescent="0.4">
      <c r="A56" s="62" t="s">
        <v>2</v>
      </c>
      <c r="B56" s="73">
        <f t="shared" ref="B56:B59" si="59">F15/52*27/0.134</f>
        <v>36.675516647531573</v>
      </c>
      <c r="C56" s="73">
        <f t="shared" ref="C56:C59" si="60">G15/52*27/0.134</f>
        <v>36.675516647531573</v>
      </c>
      <c r="D56" s="73">
        <f t="shared" ref="D56:D59" si="61">H15/52*27/0.134</f>
        <v>44.018369690011482</v>
      </c>
      <c r="E56" s="73"/>
      <c r="F56" s="95" t="s">
        <v>80</v>
      </c>
      <c r="G56" s="95"/>
      <c r="H56" s="95"/>
    </row>
    <row r="57" spans="1:8" ht="26.25" x14ac:dyDescent="0.4">
      <c r="A57" s="63" t="s">
        <v>69</v>
      </c>
      <c r="B57" s="73">
        <f t="shared" si="59"/>
        <v>25.554678530424802</v>
      </c>
      <c r="C57" s="73">
        <f t="shared" si="60"/>
        <v>25.554678530424802</v>
      </c>
      <c r="D57" s="73">
        <f t="shared" si="61"/>
        <v>60.835246842709516</v>
      </c>
      <c r="E57" s="73"/>
      <c r="F57" s="97"/>
      <c r="G57" s="98"/>
      <c r="H57" s="99"/>
    </row>
    <row r="58" spans="1:8" ht="39.4" customHeight="1" x14ac:dyDescent="0.4">
      <c r="A58" s="62" t="s">
        <v>70</v>
      </c>
      <c r="B58" s="73">
        <f t="shared" si="59"/>
        <v>52.930539609644079</v>
      </c>
      <c r="C58" s="73">
        <f t="shared" si="60"/>
        <v>52.930539609644079</v>
      </c>
      <c r="D58" s="73">
        <f t="shared" si="61"/>
        <v>0</v>
      </c>
      <c r="E58" s="73"/>
      <c r="F58" s="97"/>
      <c r="G58" s="98"/>
      <c r="H58" s="99"/>
    </row>
    <row r="59" spans="1:8" ht="40.9" customHeight="1" x14ac:dyDescent="0.4">
      <c r="A59" s="63" t="s">
        <v>71</v>
      </c>
      <c r="B59" s="73">
        <f t="shared" si="59"/>
        <v>26.969001148105622</v>
      </c>
      <c r="C59" s="73">
        <f t="shared" si="60"/>
        <v>26.969001148105622</v>
      </c>
      <c r="D59" s="73">
        <f t="shared" si="61"/>
        <v>1.1624569460390353</v>
      </c>
      <c r="E59" s="73"/>
      <c r="F59" s="91" t="s">
        <v>79</v>
      </c>
      <c r="G59" s="92"/>
      <c r="H59" s="93"/>
    </row>
  </sheetData>
  <mergeCells count="27">
    <mergeCell ref="X1:Z1"/>
    <mergeCell ref="F55:H55"/>
    <mergeCell ref="F56:H56"/>
    <mergeCell ref="F57:H57"/>
    <mergeCell ref="F58:H58"/>
    <mergeCell ref="B42:H42"/>
    <mergeCell ref="F50:H50"/>
    <mergeCell ref="F51:H51"/>
    <mergeCell ref="F52:H52"/>
    <mergeCell ref="F53:H53"/>
    <mergeCell ref="F54:H54"/>
    <mergeCell ref="F45:H45"/>
    <mergeCell ref="F46:H46"/>
    <mergeCell ref="F47:H47"/>
    <mergeCell ref="F48:H48"/>
    <mergeCell ref="F49:H49"/>
    <mergeCell ref="O1:Q1"/>
    <mergeCell ref="F44:H44"/>
    <mergeCell ref="L23:Q23"/>
    <mergeCell ref="R1:T1"/>
    <mergeCell ref="U1:W1"/>
    <mergeCell ref="F43:H43"/>
    <mergeCell ref="F59:H59"/>
    <mergeCell ref="B1:D1"/>
    <mergeCell ref="F1:H1"/>
    <mergeCell ref="I1:K1"/>
    <mergeCell ref="L1:N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Generation Calculator</vt:lpstr>
      <vt:lpstr>Source Data</vt:lpstr>
      <vt:lpstr>garbagebinsize</vt:lpstr>
      <vt:lpstr>garbagecartnumber</vt:lpstr>
      <vt:lpstr>garbagecartsize</vt:lpstr>
      <vt:lpstr>organicsbinsize</vt:lpstr>
      <vt:lpstr>organicscartnumber</vt:lpstr>
      <vt:lpstr>organicscartsize</vt:lpstr>
      <vt:lpstr>recyclingbinsize</vt:lpstr>
      <vt:lpstr>recyclingcartnumber</vt:lpstr>
      <vt:lpstr>recyclingcartsize</vt:lpstr>
    </vt:vector>
  </TitlesOfParts>
  <Company>CalRecycle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CalRecycle Waste Characterization Studies: Commercial Waste Streams by Business Group for Brentwood</dc:title>
  <dc:creator>Chris.Allen@calrecycle.ca.gov</dc:creator>
  <dc:description>~~BusinessGroupStreamsTemplate-Version-1.00~~</dc:description>
  <cp:lastModifiedBy>rradford</cp:lastModifiedBy>
  <dcterms:created xsi:type="dcterms:W3CDTF">2016-07-27T21:39:44Z</dcterms:created>
  <dcterms:modified xsi:type="dcterms:W3CDTF">2017-06-23T19:12:03Z</dcterms:modified>
</cp:coreProperties>
</file>